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272" windowWidth="15576" windowHeight="6660" activeTab="2"/>
  </bookViews>
  <sheets>
    <sheet name="Instructions" sheetId="1" r:id="rId1"/>
    <sheet name="RATE Summary" sheetId="2" r:id="rId2"/>
    <sheet name="Summary" sheetId="3" r:id="rId3"/>
    <sheet name="Transactions" sheetId="4" r:id="rId4"/>
    <sheet name="Pivot" sheetId="5" r:id="rId5"/>
    <sheet name="Prime-Rates" sheetId="6" r:id="rId6"/>
  </sheets>
  <definedNames>
    <definedName name="_xlnm._FilterDatabase" localSheetId="5" hidden="1">'Prime-Rates'!$A$1:$C$643</definedName>
    <definedName name="AS1_1999" localSheetId="3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Summary'!$B$2:$F$135</definedName>
    <definedName name="_xlnm.Print_Area" localSheetId="2">'Summary'!$C$1:$H$41</definedName>
    <definedName name="_xlnm.Print_Area" localSheetId="3">'Transactions'!$A$1:$AE$235</definedName>
    <definedName name="_xlnm.Print_Titles" localSheetId="4">'Pivot'!$3:$4</definedName>
    <definedName name="_xlnm.Print_Titles" localSheetId="3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R.Pennybaker</author>
  </authors>
  <commentList>
    <comment ref="D23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Jul'09 initially billed at May 26, 2009 published rate $1592.08.  True-up up to Aug 31, 2009 rate $1616.17 in routine monthly billing.  Aug'09 forward billed at Aug 31, 2009 rate.</t>
        </r>
      </text>
    </comment>
    <comment ref="D6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Speicial 1-off 13mo trueup ("as-filed" to "
settlement" methodology).</t>
        </r>
      </text>
    </comment>
  </commentList>
</comments>
</file>

<file path=xl/comments4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</commentList>
</comments>
</file>

<file path=xl/sharedStrings.xml><?xml version="1.0" encoding="utf-8"?>
<sst xmlns="http://schemas.openxmlformats.org/spreadsheetml/2006/main" count="1060" uniqueCount="371">
  <si>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</si>
  <si>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</si>
  <si>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</si>
  <si>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</si>
  <si>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</si>
  <si>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</si>
  <si>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</si>
  <si>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</si>
  <si>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</si>
  <si>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</si>
  <si>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</si>
  <si>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</si>
  <si>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</si>
  <si>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</si>
  <si>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</si>
  <si>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</si>
  <si>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</si>
  <si>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</si>
  <si>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</si>
  <si>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</si>
  <si>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</si>
  <si>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</si>
  <si>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</si>
  <si>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</si>
  <si>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</si>
  <si>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</si>
  <si>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</si>
  <si>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</si>
  <si>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</si>
  <si>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</si>
  <si>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</si>
  <si>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</si>
  <si>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</si>
  <si>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</si>
  <si>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</si>
  <si>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</si>
  <si>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</si>
  <si>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</si>
  <si>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</si>
  <si>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</si>
  <si>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</si>
  <si>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</si>
  <si>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</si>
  <si>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</si>
  <si>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</si>
  <si>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</si>
  <si>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</si>
  <si>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</si>
  <si>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</si>
  <si>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</si>
  <si>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</si>
  <si>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</si>
  <si>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</si>
  <si>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</si>
  <si>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</si>
  <si>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</si>
  <si>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</si>
  <si>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</si>
  <si>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</si>
  <si>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</si>
  <si>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</si>
  <si>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</si>
  <si>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</si>
  <si>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</si>
  <si>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</si>
  <si>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</si>
  <si>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</si>
  <si>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</si>
  <si>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</si>
  <si>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</si>
  <si>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</si>
  <si>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</si>
  <si>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</si>
  <si>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</si>
  <si>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</si>
  <si>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</si>
  <si>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</si>
  <si>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</si>
  <si>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</si>
  <si>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</si>
  <si>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</si>
  <si>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</si>
  <si>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</si>
  <si>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</si>
  <si>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</si>
  <si>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</si>
  <si>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</si>
  <si>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</si>
  <si>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</si>
  <si>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</si>
  <si>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</si>
  <si>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</si>
  <si>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</si>
  <si>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</si>
  <si>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</si>
  <si>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</si>
  <si>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</si>
  <si>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</si>
  <si>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</si>
  <si>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</si>
  <si>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</si>
  <si>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</si>
  <si>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</si>
  <si>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</si>
  <si>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</si>
  <si>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</si>
  <si>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</si>
  <si>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</si>
  <si>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</si>
  <si>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</si>
  <si>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</si>
  <si>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</si>
  <si>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</si>
  <si>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</si>
  <si>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</si>
  <si>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</si>
  <si>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LRS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</si>
  <si>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</si>
  <si>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</si>
  <si>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</si>
  <si>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</si>
  <si>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</si>
  <si>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</si>
  <si>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</si>
  <si>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</si>
  <si>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</si>
  <si>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</si>
  <si>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</si>
  <si>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</si>
  <si>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</si>
  <si>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</si>
  <si>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</si>
  <si>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</si>
  <si>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</si>
  <si>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</si>
  <si>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</si>
  <si>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</si>
  <si>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</si>
  <si>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</si>
  <si>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</si>
  <si>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</si>
  <si>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</si>
  <si>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</si>
  <si>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</si>
  <si>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</si>
  <si>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</si>
  <si>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</si>
  <si>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</si>
  <si>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</si>
  <si>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</si>
  <si>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</si>
  <si>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</si>
  <si>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</si>
  <si>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</si>
  <si>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</si>
  <si>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</si>
  <si>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</si>
  <si>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</si>
  <si>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</si>
  <si>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</si>
  <si>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</si>
  <si>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</si>
  <si>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</si>
  <si>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</si>
  <si>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</si>
  <si>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</si>
  <si>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</si>
  <si>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</si>
  <si>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</si>
  <si>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</si>
  <si>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</si>
  <si>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</si>
  <si>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</si>
  <si>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N/A</t>
  </si>
  <si>
    <t>Stated Revenue Requirement (pre-formula Rate)</t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</si>
  <si>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</si>
  <si>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</si>
  <si>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"Settlement" FR effective Mar. 1, 2009 (interim basis).</t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</si>
  <si>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</si>
  <si>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</si>
  <si>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>Annual Update posted May 26, 2009.</t>
  </si>
  <si>
    <t>Annual Update ("as-filed" method) posted May 2008.</t>
  </si>
  <si>
    <r>
      <t>Transmission Owner = American Electric Power</t>
    </r>
    <r>
      <rPr>
        <u val="single"/>
        <sz val="10"/>
        <rFont val="Arial Narrow"/>
        <family val="2"/>
      </rPr>
      <t xml:space="preserve"> (ER07-1069)</t>
    </r>
  </si>
  <si>
    <t>"As-filed" ARR = $140,261,459 via LRS eff. 2/1/2008.</t>
  </si>
  <si>
    <t>"As-filed" ARR = $141,555,128 via LRS eff. 7/1/2008.</t>
  </si>
  <si>
    <t xml:space="preserve">    Comments</t>
  </si>
  <si>
    <t>Note: 13mo special trueup rates were based on known 2008 12CP.</t>
  </si>
  <si>
    <t>06/2009, 3.25</t>
  </si>
  <si>
    <t>07/2009, 3.25</t>
  </si>
  <si>
    <t xml:space="preserve">Per 5/26/09 Annual Update:  CY2008 True-Up Rate = $1,499.46 </t>
  </si>
  <si>
    <t xml:space="preserve">            Proj ARR eff. 7/1/09 = $144,968,809 via rate = $1,592.08</t>
  </si>
  <si>
    <t xml:space="preserve">                        Proj ARR eff. 7/1/09 = $147,162,500 via rate = $1,616.17</t>
  </si>
  <si>
    <t xml:space="preserve">    Non-Affiliate
    Subtotals</t>
  </si>
  <si>
    <t>TOTALS</t>
  </si>
  <si>
    <t>Total
True-Up Surcharge / (Refund)</t>
  </si>
  <si>
    <t>08/2009, 3.25</t>
  </si>
  <si>
    <t>Per 8/31/09 FINAL Annual Update:  CY2008 True-Up Rate = $1,528.90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</si>
  <si>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</si>
  <si>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</si>
  <si>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</si>
  <si>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</si>
  <si>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</si>
  <si>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</si>
  <si>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</si>
  <si>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</si>
  <si>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</si>
  <si>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</si>
  <si>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</si>
  <si>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</si>
  <si>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</si>
  <si>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</si>
  <si>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</si>
  <si>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</si>
  <si>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AEP Formula Rate -- FERC Docket ER07-1069</t>
  </si>
  <si>
    <t>Sum of Invoiced*** Charge (proj.)</t>
  </si>
  <si>
    <t xml:space="preserve">  Customer</t>
  </si>
  <si>
    <t>Per 5/25/10 Annual Update:  CY2009 True-Up Rate = $1,358.48</t>
  </si>
  <si>
    <t xml:space="preserve">                        Proj ARR eff. 7/1/10 = $123,331,614 via rate = $1,414.16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</si>
  <si>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</si>
  <si>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</si>
  <si>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</si>
  <si>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</si>
  <si>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</si>
  <si>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</si>
  <si>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</si>
  <si>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 xml:space="preserve">   2010 "Corrected" Update published 3/29/2011 has "CY2009" trueup rate</t>
  </si>
  <si>
    <t xml:space="preserve">    of $1,394.11 which will be implemented for May 2011 service billing in early June 2011.</t>
  </si>
  <si>
    <t xml:space="preserve">   Initial CY2009 trueup rate as of 5/25/2010 update was 1,359.10 but never implemented.</t>
  </si>
  <si>
    <t>3rd Party Totals</t>
  </si>
  <si>
    <t>SPP Zone1 Totals (incl. PSO/SWE)</t>
  </si>
  <si>
    <t>Surcharge / (Refund)</t>
  </si>
  <si>
    <t>2011 update projected ARR = $146,234,083 // PTP rate $1,518.49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</si>
  <si>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</si>
  <si>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</si>
  <si>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</si>
  <si>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</si>
  <si>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</si>
  <si>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</si>
  <si>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</si>
  <si>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</si>
  <si>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</si>
  <si>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</si>
  <si>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 xml:space="preserve">                        this rate back to 7/1/2011.</t>
  </si>
  <si>
    <t xml:space="preserve">                        be eff. Jan 1, 2011.  Thus, we will reqeust SPP to NOT use the </t>
  </si>
  <si>
    <t xml:space="preserve">10/19/2011:  CY2010 trueup rate of $1,451.30 published 5/24/2011 was </t>
  </si>
  <si>
    <t>not implemented by SPP before publishing the "revised" true-up rate $1458.03.</t>
  </si>
  <si>
    <t>2010 "Corrected" projected rate of $$1,472.02 was never implemented by SPP.</t>
  </si>
  <si>
    <t>Using the original May 2010 Update projected rate of $1,414.66 for billing which</t>
  </si>
  <si>
    <t>will be trued-up by action of 2011 and 2012 updates.</t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</si>
  <si>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</si>
  <si>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</si>
  <si>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</si>
  <si>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</si>
  <si>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</si>
  <si>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</si>
  <si>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</si>
  <si>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</si>
  <si>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</si>
  <si>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</si>
  <si>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</si>
  <si>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</si>
  <si>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</si>
  <si>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</si>
  <si>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</si>
  <si>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</si>
  <si>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10/19/2011:  SPP has filed this rate in its OATT &amp; will commence billing</t>
  </si>
  <si>
    <t>"Revised" 2011 update projected ARR = $147,332,963 // PTP rate $1,529.90</t>
  </si>
  <si>
    <t xml:space="preserve">   12/21/2011:  SPP has filed a formulaic process for its tariff sheets planned to </t>
  </si>
  <si>
    <t xml:space="preserve">                       "revised" rates since they'll be trued-up via the 2012 update.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</si>
  <si>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</si>
  <si>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</si>
  <si>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</si>
  <si>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</si>
  <si>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</si>
  <si>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</si>
  <si>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CY2011 True-Up ARR = $140,123,682 // PTP rate $1,403.03</t>
  </si>
  <si>
    <t>2012 update projected ARR = $144,466,358 // PTP rate $1,446.51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</si>
  <si>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</si>
  <si>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</si>
  <si>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</si>
  <si>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</si>
  <si>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</si>
  <si>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</si>
  <si>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</si>
  <si>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</si>
  <si>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</si>
  <si>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</si>
  <si>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</si>
  <si>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</si>
  <si>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</si>
  <si>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</si>
  <si>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</si>
  <si>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</si>
  <si>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</si>
  <si>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</si>
  <si>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</si>
  <si>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</si>
  <si>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</si>
  <si>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</si>
  <si>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</si>
  <si>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</si>
  <si>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</si>
  <si>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</si>
  <si>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</si>
  <si>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</si>
  <si>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</si>
  <si>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</si>
  <si>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</si>
  <si>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</si>
  <si>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</si>
  <si>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</si>
  <si>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</si>
  <si>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</si>
  <si>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</si>
  <si>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</si>
  <si>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</si>
  <si>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</si>
  <si>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</si>
  <si>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</si>
  <si>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</si>
  <si>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</si>
  <si>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</si>
  <si>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07/2014, 3.25</t>
  </si>
  <si>
    <t>08/2014, 3.25</t>
  </si>
  <si>
    <t>09/2014, 3.25</t>
  </si>
  <si>
    <t>10/2014, 3.25</t>
  </si>
  <si>
    <t>11/2014, 3.25</t>
  </si>
  <si>
    <t>12/2014, 3.25</t>
  </si>
  <si>
    <t>2013 update projected ARR = $155,652,292 // PTP rate $1,586.22</t>
  </si>
  <si>
    <t>CY2012 True-Up ARR = $148,229,152 // PTP rate $1,510.57</t>
  </si>
  <si>
    <t>CY2013 True-Up ARR = $145,213,454 // PTP rate = $1,491.39</t>
  </si>
  <si>
    <t>2014 update projected ARR = $154,431,445 // PTP rate = $1,586.06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</si>
  <si>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</si>
  <si>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</si>
  <si>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</si>
  <si>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</si>
  <si>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</si>
  <si>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</si>
  <si>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</si>
  <si>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</si>
  <si>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</si>
  <si>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</si>
  <si>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</si>
  <si>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3.37</t>
  </si>
  <si>
    <t>SWEPCO-Valley</t>
  </si>
  <si>
    <t>2/2016, 3.50</t>
  </si>
  <si>
    <t>3/2016, 3.50</t>
  </si>
  <si>
    <t>4/2016, 3.50</t>
  </si>
  <si>
    <t>5/2016, 3.50</t>
  </si>
  <si>
    <t>6/2016, 3.50</t>
  </si>
  <si>
    <t>7/2016, 3.50</t>
  </si>
  <si>
    <t>8/2016, 3.50</t>
  </si>
  <si>
    <t>9/2016, 3.50</t>
  </si>
  <si>
    <t>10/2016, 3.50</t>
  </si>
  <si>
    <t>11/2016, 3.50</t>
  </si>
  <si>
    <t>12/2016, 3.50</t>
  </si>
  <si>
    <t>01/2016, 3.50</t>
  </si>
  <si>
    <t>4/2017, 3.71</t>
  </si>
  <si>
    <t>01/2017, 3.50</t>
  </si>
  <si>
    <t>2/2017, 3.50</t>
  </si>
  <si>
    <t>3/2017, 3.50</t>
  </si>
  <si>
    <t>5/2017, 3.71</t>
  </si>
  <si>
    <t>6/2017, 3.71</t>
  </si>
  <si>
    <t>7/2017, 3.71</t>
  </si>
  <si>
    <t>8/2017, 3.71</t>
  </si>
  <si>
    <t>9/2017, 3.71</t>
  </si>
  <si>
    <t>10/2017, 3.71</t>
  </si>
  <si>
    <t>11/2017, 3.71</t>
  </si>
  <si>
    <t>12/2017, 3.71</t>
  </si>
  <si>
    <t xml:space="preserve"> from 2016 update*</t>
  </si>
  <si>
    <t>from 2015 Update*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</si>
</sst>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&quot;$&quot;* #,##0.0000_);_(&quot;$&quot;* \(#,##0.0000\);_(&quot;$&quot;* &quot;-&quot;??_);_(@_)"/>
    <numFmt numFmtId="180" formatCode="m/d/yy;@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3" fillId="35" borderId="52" xfId="0" applyFont="1" applyFill="1" applyBorder="1" applyAlignment="1">
      <alignment horizontal="center" wrapText="1"/>
    </xf>
    <xf numFmtId="0" fontId="13" fillId="35" borderId="53" xfId="0" applyFont="1" applyFill="1" applyBorder="1" applyAlignment="1">
      <alignment horizontal="center" wrapText="1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172" fontId="0" fillId="36" borderId="54" xfId="0" applyNumberFormat="1" applyFill="1" applyBorder="1" applyAlignment="1">
      <alignment horizontal="center"/>
    </xf>
    <xf numFmtId="172" fontId="0" fillId="36" borderId="55" xfId="0" applyNumberFormat="1" applyFill="1" applyBorder="1" applyAlignment="1">
      <alignment horizontal="center"/>
    </xf>
    <xf numFmtId="44" fontId="13" fillId="36" borderId="54" xfId="44" applyFont="1" applyFill="1" applyBorder="1" applyAlignment="1" quotePrefix="1">
      <alignment horizontal="center" wrapText="1"/>
    </xf>
    <xf numFmtId="0" fontId="13" fillId="36" borderId="32" xfId="0" applyFont="1" applyFill="1" applyBorder="1" applyAlignment="1">
      <alignment horizontal="center"/>
    </xf>
    <xf numFmtId="0" fontId="13" fillId="36" borderId="56" xfId="0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44" fontId="13" fillId="36" borderId="55" xfId="44" applyFont="1" applyFill="1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8" fontId="13" fillId="36" borderId="57" xfId="0" applyNumberFormat="1" applyFont="1" applyFill="1" applyBorder="1" applyAlignment="1">
      <alignment horizontal="center"/>
    </xf>
    <xf numFmtId="8" fontId="13" fillId="36" borderId="33" xfId="0" applyNumberFormat="1" applyFont="1" applyFill="1" applyBorder="1" applyAlignment="1">
      <alignment horizontal="center"/>
    </xf>
    <xf numFmtId="8" fontId="13" fillId="36" borderId="47" xfId="0" applyNumberFormat="1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3" fillId="36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44" fontId="13" fillId="36" borderId="57" xfId="44" applyFont="1" applyFill="1" applyBorder="1" applyAlignment="1">
      <alignment/>
    </xf>
    <xf numFmtId="44" fontId="13" fillId="36" borderId="55" xfId="44" applyFont="1" applyFill="1" applyBorder="1" applyAlignment="1">
      <alignment/>
    </xf>
    <xf numFmtId="0" fontId="14" fillId="0" borderId="49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9" xfId="0" applyNumberFormat="1" applyBorder="1" applyAlignment="1">
      <alignment/>
    </xf>
    <xf numFmtId="0" fontId="1" fillId="0" borderId="60" xfId="0" applyFont="1" applyBorder="1" applyAlignment="1" quotePrefix="1">
      <alignment horizontal="left" vertical="center" wrapText="1"/>
    </xf>
    <xf numFmtId="0" fontId="13" fillId="0" borderId="0" xfId="0" applyFont="1" applyAlignment="1">
      <alignment horizontal="left"/>
    </xf>
    <xf numFmtId="0" fontId="10" fillId="0" borderId="6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13" fillId="35" borderId="0" xfId="0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0" fillId="0" borderId="38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172" fontId="0" fillId="36" borderId="34" xfId="0" applyNumberFormat="1" applyFill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172" fontId="0" fillId="0" borderId="57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13" fillId="0" borderId="0" xfId="0" applyFont="1" applyFill="1" applyAlignment="1">
      <alignment/>
    </xf>
    <xf numFmtId="44" fontId="13" fillId="38" borderId="57" xfId="44" applyFont="1" applyFill="1" applyBorder="1" applyAlignment="1">
      <alignment/>
    </xf>
    <xf numFmtId="44" fontId="13" fillId="36" borderId="55" xfId="0" applyNumberFormat="1" applyFont="1" applyFill="1" applyBorder="1" applyAlignment="1">
      <alignment horizontal="center"/>
    </xf>
    <xf numFmtId="44" fontId="13" fillId="38" borderId="55" xfId="44" applyFont="1" applyFill="1" applyBorder="1" applyAlignment="1">
      <alignment/>
    </xf>
    <xf numFmtId="0" fontId="0" fillId="0" borderId="0" xfId="0" applyFont="1" applyAlignment="1" quotePrefix="1">
      <alignment horizontal="left"/>
    </xf>
    <xf numFmtId="44" fontId="13" fillId="39" borderId="57" xfId="44" applyFont="1" applyFill="1" applyBorder="1" applyAlignment="1">
      <alignment/>
    </xf>
    <xf numFmtId="44" fontId="13" fillId="39" borderId="55" xfId="44" applyFont="1" applyFill="1" applyBorder="1" applyAlignment="1">
      <alignment/>
    </xf>
    <xf numFmtId="44" fontId="13" fillId="36" borderId="56" xfId="44" applyFont="1" applyFill="1" applyBorder="1" applyAlignment="1">
      <alignment/>
    </xf>
    <xf numFmtId="44" fontId="13" fillId="38" borderId="56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60" fillId="0" borderId="0" xfId="59" applyNumberFormat="1" applyFont="1" applyBorder="1" applyAlignment="1" quotePrefix="1">
      <alignment horizontal="left"/>
    </xf>
    <xf numFmtId="2" fontId="13" fillId="34" borderId="0" xfId="0" applyNumberFormat="1" applyFont="1" applyFill="1" applyBorder="1" applyAlignment="1">
      <alignment horizontal="center"/>
    </xf>
    <xf numFmtId="44" fontId="13" fillId="18" borderId="57" xfId="44" applyFont="1" applyFill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44" fontId="13" fillId="9" borderId="57" xfId="44" applyFont="1" applyFill="1" applyBorder="1" applyAlignment="1">
      <alignment/>
    </xf>
    <xf numFmtId="44" fontId="13" fillId="9" borderId="56" xfId="44" applyFont="1" applyFill="1" applyBorder="1" applyAlignment="1">
      <alignment/>
    </xf>
    <xf numFmtId="44" fontId="13" fillId="9" borderId="55" xfId="44" applyFont="1" applyFill="1" applyBorder="1" applyAlignment="1">
      <alignment/>
    </xf>
    <xf numFmtId="0" fontId="0" fillId="13" borderId="0" xfId="0" applyFont="1" applyFill="1" applyAlignment="1">
      <alignment/>
    </xf>
    <xf numFmtId="0" fontId="0" fillId="18" borderId="0" xfId="0" applyFont="1" applyFill="1" applyAlignment="1">
      <alignment/>
    </xf>
    <xf numFmtId="172" fontId="0" fillId="39" borderId="32" xfId="0" applyNumberFormat="1" applyFill="1" applyBorder="1" applyAlignment="1">
      <alignment horizontal="center"/>
    </xf>
    <xf numFmtId="172" fontId="0" fillId="39" borderId="57" xfId="0" applyNumberFormat="1" applyFill="1" applyBorder="1" applyAlignment="1">
      <alignment horizontal="center"/>
    </xf>
    <xf numFmtId="172" fontId="0" fillId="39" borderId="55" xfId="0" applyNumberFormat="1" applyFill="1" applyBorder="1" applyAlignment="1">
      <alignment horizontal="center"/>
    </xf>
    <xf numFmtId="0" fontId="61" fillId="40" borderId="0" xfId="0" applyFont="1" applyFill="1" applyAlignment="1">
      <alignment/>
    </xf>
    <xf numFmtId="44" fontId="13" fillId="13" borderId="57" xfId="44" applyFont="1" applyFill="1" applyBorder="1" applyAlignment="1">
      <alignment/>
    </xf>
    <xf numFmtId="44" fontId="24" fillId="10" borderId="57" xfId="44" applyFont="1" applyFill="1" applyBorder="1" applyAlignment="1">
      <alignment horizontal="right"/>
    </xf>
    <xf numFmtId="44" fontId="24" fillId="10" borderId="55" xfId="44" applyFont="1" applyFill="1" applyBorder="1" applyAlignment="1">
      <alignment horizontal="right"/>
    </xf>
    <xf numFmtId="44" fontId="13" fillId="13" borderId="56" xfId="44" applyFont="1" applyFill="1" applyBorder="1" applyAlignment="1">
      <alignment horizontal="center"/>
    </xf>
    <xf numFmtId="44" fontId="13" fillId="13" borderId="57" xfId="44" applyFont="1" applyFill="1" applyBorder="1" applyAlignment="1">
      <alignment horizontal="center"/>
    </xf>
    <xf numFmtId="44" fontId="13" fillId="13" borderId="55" xfId="44" applyFont="1" applyFill="1" applyBorder="1" applyAlignment="1">
      <alignment horizontal="center"/>
    </xf>
    <xf numFmtId="0" fontId="22" fillId="40" borderId="0" xfId="0" applyFont="1" applyFill="1" applyAlignment="1">
      <alignment/>
    </xf>
    <xf numFmtId="14" fontId="6" fillId="40" borderId="10" xfId="0" applyNumberFormat="1" applyFont="1" applyFill="1" applyBorder="1" applyAlignment="1">
      <alignment horizontal="center"/>
    </xf>
    <xf numFmtId="10" fontId="0" fillId="32" borderId="0" xfId="59" applyNumberFormat="1" applyFont="1" applyFill="1" applyAlignment="1" quotePrefix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0" fontId="0" fillId="32" borderId="0" xfId="59" applyNumberFormat="1" applyFont="1" applyFill="1" applyAlignment="1">
      <alignment horizontal="center"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44" fontId="24" fillId="11" borderId="57" xfId="44" applyFont="1" applyFill="1" applyBorder="1" applyAlignment="1">
      <alignment horizontal="right"/>
    </xf>
    <xf numFmtId="44" fontId="24" fillId="11" borderId="66" xfId="44" applyFont="1" applyFill="1" applyBorder="1" applyAlignment="1">
      <alignment horizontal="right"/>
    </xf>
    <xf numFmtId="44" fontId="13" fillId="13" borderId="66" xfId="44" applyFont="1" applyFill="1" applyBorder="1" applyAlignment="1">
      <alignment/>
    </xf>
    <xf numFmtId="44" fontId="13" fillId="41" borderId="57" xfId="44" applyFont="1" applyFill="1" applyBorder="1" applyAlignment="1">
      <alignment/>
    </xf>
    <xf numFmtId="44" fontId="13" fillId="41" borderId="66" xfId="44" applyFont="1" applyFill="1" applyBorder="1" applyAlignment="1">
      <alignment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0" fontId="0" fillId="0" borderId="0" xfId="59" applyNumberFormat="1" applyFont="1" applyFill="1" applyAlignment="1" quotePrefix="1">
      <alignment horizontal="center"/>
    </xf>
    <xf numFmtId="0" fontId="0" fillId="42" borderId="0" xfId="0" applyFill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0" borderId="0" xfId="59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0" fillId="0" borderId="22" xfId="0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68" fontId="8" fillId="42" borderId="0" xfId="0" applyNumberFormat="1" applyFont="1" applyFill="1" applyBorder="1" applyAlignment="1">
      <alignment horizontal="right"/>
    </xf>
    <xf numFmtId="164" fontId="8" fillId="42" borderId="0" xfId="0" applyNumberFormat="1" applyFont="1" applyFill="1" applyBorder="1" applyAlignment="1">
      <alignment horizontal="right"/>
    </xf>
    <xf numFmtId="14" fontId="8" fillId="33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44" fontId="13" fillId="42" borderId="57" xfId="44" applyFont="1" applyFill="1" applyBorder="1" applyAlignment="1">
      <alignment/>
    </xf>
    <xf numFmtId="0" fontId="0" fillId="0" borderId="67" xfId="0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361950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76750" y="361950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361950</xdr:rowOff>
    </xdr:from>
    <xdr:to>
      <xdr:col>7</xdr:col>
      <xdr:colOff>438150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86275" y="1438275"/>
          <a:ext cx="704850" cy="476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23" sheet="Transactions"/>
  </cacheSource>
  <cacheFields count="13">
    <cacheField name="Serivce Month">
      <sharedItems containsSemiMixedTypes="0" containsNonDate="0" containsDate="1" containsString="0" containsMixedTypes="0" count="84">
        <d v="2016-01-01T00:00:00.000"/>
        <d v="2016-02-01T00:00:00.000"/>
        <d v="2016-03-01T00:00:00.000"/>
        <d v="2016-04-01T00:00:00.000"/>
        <d v="2016-05-01T00:00:00.000"/>
        <d v="2016-06-01T00:00:00.000"/>
        <d v="2016-07-01T00:00:00.000"/>
        <d v="2016-08-01T00:00:00.000"/>
        <d v="2016-09-01T00:00:00.000"/>
        <d v="2016-10-01T00:00:00.000"/>
        <d v="2016-11-01T00:00:00.000"/>
        <d v="2016-12-01T00:00:00.000"/>
        <d v="2013-05-01T00:00:00.000"/>
        <d v="2014-05-01T00:00:00.000"/>
        <d v="2015-05-01T00:00:00.000"/>
        <d v="2010-11-01T00:00:00.000"/>
        <d v="2011-11-01T00:00:00.000"/>
        <d v="2012-11-01T00:00:00.000"/>
        <d v="2013-11-01T00:00:00.000"/>
        <d v="2014-11-01T00:00:00.000"/>
        <d v="2015-11-01T00:00:00.000"/>
        <d v="2010-06-01T00:00:00.000"/>
        <d v="2011-06-01T00:00:00.000"/>
        <d v="2012-06-01T00:00:00.000"/>
        <d v="2013-06-01T00:00:00.000"/>
        <d v="2014-06-01T00:00:00.000"/>
        <d v="2015-06-01T00:00:00.000"/>
        <d v="2010-12-01T00:00:00.000"/>
        <d v="2011-12-01T00:00:00.000"/>
        <d v="2012-12-01T00:00:00.000"/>
        <d v="2013-12-01T00:00:00.000"/>
        <d v="2014-12-01T00:00:00.000"/>
        <d v="2015-12-01T00:00:00.000"/>
        <d v="2010-01-01T00:00:00.000"/>
        <d v="2011-01-01T00:00:00.000"/>
        <d v="2012-01-01T00:00:00.000"/>
        <d v="2013-01-01T00:00:00.000"/>
        <d v="2014-01-01T00:00:00.000"/>
        <d v="2015-01-01T00:00:00.000"/>
        <d v="2010-07-01T00:00:00.000"/>
        <d v="2011-07-01T00:00:00.000"/>
        <d v="2012-07-01T00:00:00.000"/>
        <d v="2013-07-01T00:00:00.000"/>
        <d v="2014-07-01T00:00:00.000"/>
        <d v="2015-07-01T00:00:00.000"/>
        <d v="2010-02-01T00:00:00.000"/>
        <d v="2011-02-01T00:00:00.000"/>
        <d v="2012-02-01T00:00:00.000"/>
        <d v="2013-02-01T00:00:00.000"/>
        <d v="2014-02-01T00:00:00.000"/>
        <d v="2015-02-01T00:00:00.000"/>
        <d v="2010-08-01T00:00:00.000"/>
        <d v="2011-08-01T00:00:00.000"/>
        <d v="2012-08-01T00:00:00.000"/>
        <d v="2013-08-01T00:00:00.000"/>
        <d v="2014-08-01T00:00:00.000"/>
        <d v="2015-08-01T00:00:00.000"/>
        <d v="2010-03-01T00:00:00.000"/>
        <d v="2011-03-01T00:00:00.000"/>
        <d v="2012-03-01T00:00:00.000"/>
        <d v="2013-03-01T00:00:00.000"/>
        <d v="2014-03-01T00:00:00.000"/>
        <d v="2015-03-01T00:00:00.000"/>
        <d v="2010-09-01T00:00:00.000"/>
        <d v="2011-09-01T00:00:00.000"/>
        <d v="2012-09-01T00:00:00.000"/>
        <d v="2013-09-01T00:00:00.000"/>
        <d v="2014-09-01T00:00:00.000"/>
        <d v="2015-09-01T00:00:00.000"/>
        <d v="2010-04-01T00:00:00.000"/>
        <d v="2011-04-01T00:00:00.000"/>
        <d v="2012-04-01T00:00:00.000"/>
        <d v="2013-04-01T00:00:00.000"/>
        <d v="2014-04-01T00:00:00.000"/>
        <d v="2015-04-01T00:00:00.000"/>
        <d v="2010-10-01T00:00:00.000"/>
        <d v="2011-10-01T00:00:00.000"/>
        <d v="2012-10-01T00:00:00.000"/>
        <d v="2013-10-01T00:00:00.000"/>
        <d v="2014-10-01T00:00:00.000"/>
        <d v="2015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1">
        <s v="PSO"/>
        <s v="SWEPCO"/>
        <s v="SWEPCO-Valley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94" firstHeaderRow="1" firstDataRow="2" firstDataCol="2"/>
  <pivotFields count="13">
    <pivotField axis="axisCol" compact="0" outline="0" subtotalTop="0" showAll="0" numFmtId="17">
      <items count="85">
        <item m="1" x="33"/>
        <item m="1" x="45"/>
        <item m="1" x="57"/>
        <item m="1" x="69"/>
        <item m="1" x="81"/>
        <item m="1" x="21"/>
        <item m="1" x="39"/>
        <item m="1" x="51"/>
        <item m="1" x="63"/>
        <item m="1" x="75"/>
        <item m="1" x="15"/>
        <item m="1" x="27"/>
        <item m="1" x="34"/>
        <item m="1" x="46"/>
        <item m="1" x="58"/>
        <item m="1" x="70"/>
        <item m="1" x="82"/>
        <item m="1" x="22"/>
        <item m="1" x="40"/>
        <item m="1" x="52"/>
        <item m="1" x="64"/>
        <item m="1" x="76"/>
        <item m="1" x="16"/>
        <item m="1" x="28"/>
        <item m="1" x="35"/>
        <item m="1" x="47"/>
        <item m="1" x="59"/>
        <item m="1" x="71"/>
        <item m="1" x="83"/>
        <item m="1" x="23"/>
        <item m="1" x="41"/>
        <item m="1" x="53"/>
        <item m="1" x="65"/>
        <item m="1" x="77"/>
        <item m="1" x="17"/>
        <item m="1" x="29"/>
        <item m="1" x="36"/>
        <item m="1" x="48"/>
        <item m="1" x="60"/>
        <item m="1" x="72"/>
        <item m="1" x="12"/>
        <item m="1" x="24"/>
        <item m="1" x="42"/>
        <item m="1" x="54"/>
        <item m="1" x="66"/>
        <item m="1" x="78"/>
        <item m="1" x="18"/>
        <item m="1" x="30"/>
        <item m="1" x="37"/>
        <item m="1" x="49"/>
        <item m="1" x="61"/>
        <item m="1" x="73"/>
        <item m="1" x="13"/>
        <item m="1" x="25"/>
        <item m="1" x="43"/>
        <item m="1" x="55"/>
        <item m="1" x="67"/>
        <item m="1" x="79"/>
        <item m="1" x="19"/>
        <item m="1" x="31"/>
        <item m="1" x="38"/>
        <item m="1" x="50"/>
        <item m="1" x="62"/>
        <item m="1" x="74"/>
        <item m="1" x="14"/>
        <item m="1" x="26"/>
        <item m="1" x="44"/>
        <item m="1" x="56"/>
        <item m="1" x="68"/>
        <item m="1" x="80"/>
        <item m="1" x="20"/>
        <item m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2">
        <item x="3"/>
        <item m="1" x="17"/>
        <item x="16"/>
        <item x="8"/>
        <item x="10"/>
        <item m="1" x="18"/>
        <item x="11"/>
        <item x="7"/>
        <item x="6"/>
        <item x="5"/>
        <item m="1" x="19"/>
        <item x="0"/>
        <item x="1"/>
        <item x="9"/>
        <item x="4"/>
        <item m="1" x="20"/>
        <item x="12"/>
        <item x="13"/>
        <item x="14"/>
        <item x="1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90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>
      <x v="20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9"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4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5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6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6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I37" sqref="I37"/>
    </sheetView>
  </sheetViews>
  <sheetFormatPr defaultColWidth="9.140625" defaultRowHeight="12.75"/>
  <sheetData>
    <row r="1" ht="12.75">
      <c r="A1" t="s">
        <v>249</v>
      </c>
    </row>
    <row r="3" spans="1:2" ht="12.75">
      <c r="A3" s="48">
        <v>1</v>
      </c>
      <c r="B3" s="25" t="s">
        <v>252</v>
      </c>
    </row>
    <row r="4" spans="1:2" ht="12.75">
      <c r="A4" s="48">
        <v>2</v>
      </c>
      <c r="B4" s="25" t="s">
        <v>251</v>
      </c>
    </row>
    <row r="5" spans="1:2" ht="12.75">
      <c r="A5" s="48">
        <v>3</v>
      </c>
      <c r="B5" s="25" t="s">
        <v>253</v>
      </c>
    </row>
    <row r="6" spans="1:2" ht="12.75">
      <c r="A6" s="48">
        <v>4</v>
      </c>
      <c r="B6" s="322" t="s">
        <v>321</v>
      </c>
    </row>
    <row r="7" spans="1:2" ht="12.75">
      <c r="A7" s="48">
        <v>5</v>
      </c>
      <c r="B7" s="25" t="s">
        <v>256</v>
      </c>
    </row>
    <row r="8" spans="1:2" ht="12.75">
      <c r="A8" s="48">
        <v>6</v>
      </c>
      <c r="B8" s="25" t="s">
        <v>257</v>
      </c>
    </row>
    <row r="9" spans="1:2" ht="12.75">
      <c r="A9" s="48">
        <v>7</v>
      </c>
      <c r="B9" s="2" t="s">
        <v>258</v>
      </c>
    </row>
    <row r="10" spans="1:2" ht="12.75">
      <c r="A10" s="48">
        <v>8</v>
      </c>
      <c r="B10" s="25" t="s">
        <v>261</v>
      </c>
    </row>
    <row r="11" spans="1:2" ht="12.75">
      <c r="A11" s="48"/>
      <c r="B11" s="25" t="s">
        <v>262</v>
      </c>
    </row>
    <row r="12" spans="1:2" ht="12.75">
      <c r="A12" s="48"/>
      <c r="B12" s="2" t="s">
        <v>263</v>
      </c>
    </row>
    <row r="13" spans="1:2" ht="12.75">
      <c r="A13" s="48"/>
      <c r="B13" s="2" t="s">
        <v>264</v>
      </c>
    </row>
    <row r="14" spans="1:2" ht="12.75">
      <c r="A14" s="48">
        <v>9</v>
      </c>
      <c r="B14" s="25" t="s">
        <v>270</v>
      </c>
    </row>
    <row r="15" spans="1:2" ht="12.75">
      <c r="A15" s="48">
        <v>10</v>
      </c>
      <c r="B15" s="25" t="s">
        <v>272</v>
      </c>
    </row>
    <row r="16" spans="1:2" ht="12.75">
      <c r="A16" s="48">
        <v>11</v>
      </c>
      <c r="B16" s="25" t="s">
        <v>273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2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F116" sqref="F116:F117"/>
    </sheetView>
  </sheetViews>
  <sheetFormatPr defaultColWidth="9.140625" defaultRowHeight="12.75"/>
  <cols>
    <col min="2" max="2" width="9.28125" style="0" bestFit="1" customWidth="1"/>
    <col min="3" max="3" width="11.28125" style="0" bestFit="1" customWidth="1"/>
    <col min="4" max="4" width="14.00390625" style="0" customWidth="1"/>
    <col min="5" max="5" width="12.140625" style="0" customWidth="1"/>
    <col min="6" max="6" width="58.421875" style="0" customWidth="1"/>
    <col min="7" max="7" width="18.8515625" style="0" customWidth="1"/>
  </cols>
  <sheetData>
    <row r="2" ht="15.75">
      <c r="B2" s="212" t="s">
        <v>178</v>
      </c>
    </row>
    <row r="3" ht="13.5" thickBot="1">
      <c r="B3" s="211" t="s">
        <v>182</v>
      </c>
    </row>
    <row r="4" spans="2:6" ht="51.75" thickBot="1">
      <c r="B4" s="213" t="s">
        <v>175</v>
      </c>
      <c r="C4" s="214" t="s">
        <v>179</v>
      </c>
      <c r="D4" s="214" t="s">
        <v>197</v>
      </c>
      <c r="E4" s="215" t="s">
        <v>176</v>
      </c>
      <c r="F4" s="216" t="s">
        <v>185</v>
      </c>
    </row>
    <row r="5" spans="2:6" ht="14.25" hidden="1" thickBot="1">
      <c r="B5" s="219">
        <v>39448</v>
      </c>
      <c r="C5" s="221">
        <v>922.47</v>
      </c>
      <c r="D5" s="209" t="s">
        <v>173</v>
      </c>
      <c r="E5" s="210" t="s">
        <v>173</v>
      </c>
      <c r="F5" s="205" t="s">
        <v>174</v>
      </c>
    </row>
    <row r="6" spans="2:6" ht="13.5" hidden="1">
      <c r="B6" s="208">
        <v>39479</v>
      </c>
      <c r="C6" s="222" t="s">
        <v>116</v>
      </c>
      <c r="D6" s="228">
        <v>1439.49</v>
      </c>
      <c r="E6" s="239">
        <v>1528.9</v>
      </c>
      <c r="F6" s="205" t="s">
        <v>183</v>
      </c>
    </row>
    <row r="7" spans="2:6" ht="13.5" hidden="1">
      <c r="B7" s="208">
        <v>39508</v>
      </c>
      <c r="C7" s="222" t="s">
        <v>116</v>
      </c>
      <c r="D7" s="228">
        <v>1439.49</v>
      </c>
      <c r="E7" s="239">
        <v>1528.9</v>
      </c>
      <c r="F7" s="205"/>
    </row>
    <row r="8" spans="2:6" ht="13.5" hidden="1">
      <c r="B8" s="208">
        <v>39539</v>
      </c>
      <c r="C8" s="222" t="s">
        <v>116</v>
      </c>
      <c r="D8" s="228">
        <v>1439.49</v>
      </c>
      <c r="E8" s="239">
        <v>1528.9</v>
      </c>
      <c r="F8" s="204"/>
    </row>
    <row r="9" spans="2:6" ht="13.5" hidden="1">
      <c r="B9" s="208">
        <v>39569</v>
      </c>
      <c r="C9" s="222" t="s">
        <v>116</v>
      </c>
      <c r="D9" s="228">
        <v>1439.49</v>
      </c>
      <c r="E9" s="239">
        <v>1528.9</v>
      </c>
      <c r="F9" s="205" t="s">
        <v>181</v>
      </c>
    </row>
    <row r="10" spans="2:5" ht="14.25" hidden="1" thickBot="1">
      <c r="B10" s="208">
        <v>39600</v>
      </c>
      <c r="C10" s="222" t="s">
        <v>116</v>
      </c>
      <c r="D10" s="228">
        <v>1439.49</v>
      </c>
      <c r="E10" s="239">
        <v>1528.9</v>
      </c>
    </row>
    <row r="11" spans="2:6" ht="13.5" hidden="1">
      <c r="B11" s="208">
        <v>39630</v>
      </c>
      <c r="C11" s="223" t="s">
        <v>116</v>
      </c>
      <c r="D11" s="229">
        <v>1555.76</v>
      </c>
      <c r="E11" s="239">
        <v>1528.9</v>
      </c>
      <c r="F11" s="205" t="s">
        <v>184</v>
      </c>
    </row>
    <row r="12" spans="2:6" ht="13.5" hidden="1">
      <c r="B12" s="208">
        <v>39661</v>
      </c>
      <c r="C12" s="224" t="s">
        <v>116</v>
      </c>
      <c r="D12" s="229">
        <v>1555.76</v>
      </c>
      <c r="E12" s="239">
        <v>1528.9</v>
      </c>
      <c r="F12" s="204"/>
    </row>
    <row r="13" spans="2:6" ht="13.5" hidden="1">
      <c r="B13" s="208">
        <v>39692</v>
      </c>
      <c r="C13" s="224" t="s">
        <v>116</v>
      </c>
      <c r="D13" s="229">
        <v>1555.76</v>
      </c>
      <c r="E13" s="239">
        <v>1528.9</v>
      </c>
      <c r="F13" s="204"/>
    </row>
    <row r="14" spans="2:8" ht="13.5" hidden="1">
      <c r="B14" s="208">
        <v>39722</v>
      </c>
      <c r="C14" s="224" t="s">
        <v>116</v>
      </c>
      <c r="D14" s="229">
        <v>1555.76</v>
      </c>
      <c r="E14" s="239">
        <v>1528.9</v>
      </c>
      <c r="H14" s="205"/>
    </row>
    <row r="15" spans="2:6" ht="13.5" hidden="1">
      <c r="B15" s="208">
        <v>39753</v>
      </c>
      <c r="C15" s="224" t="s">
        <v>116</v>
      </c>
      <c r="D15" s="229">
        <v>1555.76</v>
      </c>
      <c r="E15" s="239">
        <v>1528.9</v>
      </c>
      <c r="F15" s="204"/>
    </row>
    <row r="16" spans="2:6" ht="14.25" hidden="1" thickBot="1">
      <c r="B16" s="220">
        <v>39783</v>
      </c>
      <c r="C16" s="224" t="s">
        <v>116</v>
      </c>
      <c r="D16" s="229">
        <v>1555.76</v>
      </c>
      <c r="E16" s="240">
        <v>1528.9</v>
      </c>
      <c r="F16" s="204"/>
    </row>
    <row r="17" spans="2:6" ht="13.5" hidden="1">
      <c r="B17" s="208">
        <v>39814</v>
      </c>
      <c r="C17" s="224" t="s">
        <v>116</v>
      </c>
      <c r="D17" s="229">
        <v>1555.76</v>
      </c>
      <c r="E17" s="239">
        <v>1394.11</v>
      </c>
      <c r="F17" s="204"/>
    </row>
    <row r="18" spans="2:6" ht="14.25" hidden="1" thickBot="1">
      <c r="B18" s="208">
        <v>39845</v>
      </c>
      <c r="C18" s="224" t="s">
        <v>116</v>
      </c>
      <c r="D18" s="230">
        <v>1555.76</v>
      </c>
      <c r="E18" s="239">
        <v>1394.11</v>
      </c>
      <c r="F18" s="204"/>
    </row>
    <row r="19" spans="2:6" ht="13.5" hidden="1">
      <c r="B19" s="208">
        <v>39873</v>
      </c>
      <c r="C19" s="225">
        <v>1527.92</v>
      </c>
      <c r="D19" s="206"/>
      <c r="E19" s="239">
        <v>1394.11</v>
      </c>
      <c r="F19" s="205" t="s">
        <v>177</v>
      </c>
    </row>
    <row r="20" spans="2:6" ht="13.5" hidden="1">
      <c r="B20" s="208">
        <v>39904</v>
      </c>
      <c r="C20" s="225">
        <v>1527.92</v>
      </c>
      <c r="D20" s="206"/>
      <c r="E20" s="239">
        <v>1394.11</v>
      </c>
      <c r="F20" s="205" t="s">
        <v>186</v>
      </c>
    </row>
    <row r="21" spans="2:6" ht="13.5" hidden="1">
      <c r="B21" s="208">
        <v>39934</v>
      </c>
      <c r="C21" s="225">
        <v>1527.92</v>
      </c>
      <c r="D21" s="206"/>
      <c r="E21" s="239">
        <v>1394.11</v>
      </c>
      <c r="F21" s="205" t="s">
        <v>180</v>
      </c>
    </row>
    <row r="22" spans="2:6" ht="14.25" hidden="1" thickBot="1">
      <c r="B22" s="208">
        <v>39965</v>
      </c>
      <c r="C22" s="226">
        <v>1527.92</v>
      </c>
      <c r="D22" s="206"/>
      <c r="E22" s="239">
        <v>1394.11</v>
      </c>
      <c r="F22" s="205" t="s">
        <v>189</v>
      </c>
    </row>
    <row r="23" spans="2:6" ht="13.5" hidden="1">
      <c r="B23" s="208">
        <v>39995</v>
      </c>
      <c r="C23" s="227">
        <v>1592.08</v>
      </c>
      <c r="D23" s="237">
        <v>1616.17</v>
      </c>
      <c r="E23" s="239">
        <v>1394.11</v>
      </c>
      <c r="F23" s="205" t="s">
        <v>190</v>
      </c>
    </row>
    <row r="24" spans="2:6" ht="13.5" hidden="1">
      <c r="B24" s="208">
        <v>40026</v>
      </c>
      <c r="C24" s="225">
        <v>1616.17</v>
      </c>
      <c r="D24" s="206"/>
      <c r="E24" s="239">
        <v>1394.11</v>
      </c>
      <c r="F24" s="205" t="s">
        <v>196</v>
      </c>
    </row>
    <row r="25" spans="2:6" ht="13.5" hidden="1">
      <c r="B25" s="208">
        <v>40057</v>
      </c>
      <c r="C25" s="225">
        <v>1616.17</v>
      </c>
      <c r="D25" s="206"/>
      <c r="E25" s="239">
        <v>1394.11</v>
      </c>
      <c r="F25" s="205" t="s">
        <v>191</v>
      </c>
    </row>
    <row r="26" spans="2:6" ht="13.5" hidden="1">
      <c r="B26" s="208">
        <v>40087</v>
      </c>
      <c r="C26" s="225">
        <v>1616.17</v>
      </c>
      <c r="D26" s="206"/>
      <c r="E26" s="239">
        <v>1394.11</v>
      </c>
      <c r="F26" s="255" t="s">
        <v>216</v>
      </c>
    </row>
    <row r="27" spans="2:6" ht="13.5" hidden="1">
      <c r="B27" s="208">
        <v>40118</v>
      </c>
      <c r="C27" s="225">
        <v>1616.17</v>
      </c>
      <c r="D27" s="206"/>
      <c r="E27" s="239">
        <v>1394.11</v>
      </c>
      <c r="F27" s="205" t="s">
        <v>217</v>
      </c>
    </row>
    <row r="28" spans="2:6" ht="14.25" hidden="1" thickBot="1">
      <c r="B28" s="220">
        <v>40148</v>
      </c>
      <c r="C28" s="225">
        <v>1616.17</v>
      </c>
      <c r="D28" s="206"/>
      <c r="E28" s="320">
        <v>1394.11</v>
      </c>
      <c r="F28" s="204"/>
    </row>
    <row r="29" spans="2:6" ht="13.5" hidden="1">
      <c r="B29" s="208">
        <v>40179</v>
      </c>
      <c r="C29" s="225">
        <v>1616.17</v>
      </c>
      <c r="D29" s="206"/>
      <c r="E29" s="239">
        <v>1458.03</v>
      </c>
      <c r="F29" s="313" t="s">
        <v>227</v>
      </c>
    </row>
    <row r="30" spans="2:6" ht="13.5" hidden="1">
      <c r="B30" s="208">
        <v>40210</v>
      </c>
      <c r="C30" s="225">
        <v>1616.17</v>
      </c>
      <c r="D30" s="206"/>
      <c r="E30" s="239">
        <v>1458.03</v>
      </c>
      <c r="F30" s="313" t="s">
        <v>225</v>
      </c>
    </row>
    <row r="31" spans="2:6" ht="13.5" hidden="1">
      <c r="B31" s="208">
        <v>40238</v>
      </c>
      <c r="C31" s="225">
        <v>1616.17</v>
      </c>
      <c r="D31" s="206"/>
      <c r="E31" s="239">
        <v>1458.03</v>
      </c>
      <c r="F31" s="318" t="s">
        <v>226</v>
      </c>
    </row>
    <row r="32" spans="2:5" ht="13.5" hidden="1">
      <c r="B32" s="208">
        <v>40269</v>
      </c>
      <c r="C32" s="225">
        <v>1616.17</v>
      </c>
      <c r="D32" s="206"/>
      <c r="E32" s="239">
        <v>1458.03</v>
      </c>
    </row>
    <row r="33" spans="1:6" ht="13.5" hidden="1">
      <c r="A33" s="238"/>
      <c r="B33" s="208">
        <v>40299</v>
      </c>
      <c r="C33" s="225">
        <v>1616.17</v>
      </c>
      <c r="D33" s="206"/>
      <c r="E33" s="239">
        <v>1458.03</v>
      </c>
      <c r="F33" s="204"/>
    </row>
    <row r="34" spans="2:6" ht="14.25" hidden="1" thickBot="1">
      <c r="B34" s="208">
        <v>40330</v>
      </c>
      <c r="C34" s="226">
        <v>1616.17</v>
      </c>
      <c r="D34" s="206"/>
      <c r="E34" s="239">
        <v>1458.03</v>
      </c>
      <c r="F34" s="204"/>
    </row>
    <row r="35" spans="2:6" ht="13.5" hidden="1">
      <c r="B35" s="208">
        <v>40360</v>
      </c>
      <c r="C35" s="227">
        <v>1616.17</v>
      </c>
      <c r="D35" s="237">
        <v>1414.66</v>
      </c>
      <c r="E35" s="239">
        <v>1458.03</v>
      </c>
      <c r="F35" s="205" t="s">
        <v>244</v>
      </c>
    </row>
    <row r="36" spans="2:6" ht="13.5" hidden="1">
      <c r="B36" s="208">
        <v>40391</v>
      </c>
      <c r="C36" s="225">
        <v>1616.17</v>
      </c>
      <c r="D36" s="237">
        <v>1414.66</v>
      </c>
      <c r="E36" s="239">
        <v>1458.03</v>
      </c>
      <c r="F36" s="205" t="s">
        <v>245</v>
      </c>
    </row>
    <row r="37" spans="2:6" ht="13.5" hidden="1">
      <c r="B37" s="208">
        <v>40422</v>
      </c>
      <c r="C37" s="225">
        <v>1616.17</v>
      </c>
      <c r="D37" s="237">
        <v>1414.66</v>
      </c>
      <c r="E37" s="239">
        <v>1458.03</v>
      </c>
      <c r="F37" s="204"/>
    </row>
    <row r="38" spans="2:6" ht="13.5" hidden="1">
      <c r="B38" s="208">
        <v>40452</v>
      </c>
      <c r="C38" s="225">
        <v>1616.17</v>
      </c>
      <c r="D38" s="237">
        <v>1414.66</v>
      </c>
      <c r="E38" s="239">
        <v>1458.03</v>
      </c>
      <c r="F38" s="204"/>
    </row>
    <row r="39" spans="2:6" ht="13.5" hidden="1">
      <c r="B39" s="208">
        <v>40483</v>
      </c>
      <c r="C39" s="225">
        <v>1616.17</v>
      </c>
      <c r="D39" s="237">
        <v>1414.66</v>
      </c>
      <c r="E39" s="239">
        <v>1458.03</v>
      </c>
      <c r="F39" s="204"/>
    </row>
    <row r="40" spans="2:6" ht="14.25" hidden="1" thickBot="1">
      <c r="B40" s="220">
        <v>40513</v>
      </c>
      <c r="C40" s="225">
        <v>1414.66</v>
      </c>
      <c r="D40" s="261"/>
      <c r="E40" s="320">
        <v>1458.03</v>
      </c>
      <c r="F40" s="204" t="s">
        <v>246</v>
      </c>
    </row>
    <row r="41" spans="2:6" ht="13.5" hidden="1">
      <c r="B41" s="208">
        <v>40544</v>
      </c>
      <c r="C41" s="225">
        <v>1414.66</v>
      </c>
      <c r="D41" s="261"/>
      <c r="E41" s="323">
        <v>1403.03</v>
      </c>
      <c r="F41" s="205" t="s">
        <v>247</v>
      </c>
    </row>
    <row r="42" spans="2:6" ht="13.5" hidden="1">
      <c r="B42" s="208">
        <v>40575</v>
      </c>
      <c r="C42" s="225">
        <v>1414.66</v>
      </c>
      <c r="D42" s="261"/>
      <c r="E42" s="323">
        <f>E41</f>
        <v>1403.03</v>
      </c>
      <c r="F42" s="204" t="s">
        <v>248</v>
      </c>
    </row>
    <row r="43" spans="2:6" ht="13.5" hidden="1">
      <c r="B43" s="208">
        <v>40603</v>
      </c>
      <c r="C43" s="225">
        <v>1414.66</v>
      </c>
      <c r="D43" s="206"/>
      <c r="E43" s="323">
        <f aca="true" t="shared" si="0" ref="E43:E52">E42</f>
        <v>1403.03</v>
      </c>
      <c r="F43" s="204"/>
    </row>
    <row r="44" spans="2:6" ht="13.5" hidden="1">
      <c r="B44" s="208">
        <v>40634</v>
      </c>
      <c r="C44" s="225">
        <v>1414.66</v>
      </c>
      <c r="D44" s="206"/>
      <c r="E44" s="323">
        <f t="shared" si="0"/>
        <v>1403.03</v>
      </c>
      <c r="F44" s="204"/>
    </row>
    <row r="45" spans="2:6" ht="13.5" hidden="1">
      <c r="B45" s="208">
        <v>40664</v>
      </c>
      <c r="C45" s="225">
        <v>1414.66</v>
      </c>
      <c r="D45" s="206"/>
      <c r="E45" s="323">
        <f t="shared" si="0"/>
        <v>1403.03</v>
      </c>
      <c r="F45" s="260" t="s">
        <v>231</v>
      </c>
    </row>
    <row r="46" spans="2:6" ht="14.25" hidden="1" thickBot="1">
      <c r="B46" s="208">
        <v>40695</v>
      </c>
      <c r="C46" s="226">
        <v>1414.66</v>
      </c>
      <c r="D46" s="207"/>
      <c r="E46" s="323">
        <f t="shared" si="0"/>
        <v>1403.03</v>
      </c>
      <c r="F46" s="205" t="s">
        <v>265</v>
      </c>
    </row>
    <row r="47" spans="2:6" ht="13.5" hidden="1">
      <c r="B47" s="208">
        <v>40725</v>
      </c>
      <c r="C47" s="325">
        <v>1414.66</v>
      </c>
      <c r="D47" s="329">
        <v>1529.9</v>
      </c>
      <c r="E47" s="323">
        <f t="shared" si="0"/>
        <v>1403.03</v>
      </c>
      <c r="F47" s="204" t="s">
        <v>242</v>
      </c>
    </row>
    <row r="48" spans="2:6" ht="13.5" hidden="1">
      <c r="B48" s="208">
        <v>40756</v>
      </c>
      <c r="C48" s="239">
        <v>1414.66</v>
      </c>
      <c r="D48" s="329">
        <f>D47</f>
        <v>1529.9</v>
      </c>
      <c r="E48" s="323">
        <f t="shared" si="0"/>
        <v>1403.03</v>
      </c>
      <c r="F48" s="204"/>
    </row>
    <row r="49" spans="2:6" ht="13.5" hidden="1">
      <c r="B49" s="208">
        <v>40787</v>
      </c>
      <c r="C49" s="239">
        <v>1414.66</v>
      </c>
      <c r="D49" s="329">
        <f>D48</f>
        <v>1529.9</v>
      </c>
      <c r="E49" s="323">
        <f t="shared" si="0"/>
        <v>1403.03</v>
      </c>
      <c r="F49" s="204"/>
    </row>
    <row r="50" spans="2:6" ht="13.5" hidden="1">
      <c r="B50" s="208">
        <v>40817</v>
      </c>
      <c r="C50" s="239">
        <v>1414.66</v>
      </c>
      <c r="D50" s="329">
        <f>D49</f>
        <v>1529.9</v>
      </c>
      <c r="E50" s="323">
        <f t="shared" si="0"/>
        <v>1403.03</v>
      </c>
      <c r="F50" s="313" t="s">
        <v>266</v>
      </c>
    </row>
    <row r="51" spans="2:6" ht="13.5" hidden="1">
      <c r="B51" s="208">
        <v>40848</v>
      </c>
      <c r="C51" s="239">
        <f>C50</f>
        <v>1414.66</v>
      </c>
      <c r="D51" s="329">
        <f>D50</f>
        <v>1529.9</v>
      </c>
      <c r="E51" s="323">
        <f t="shared" si="0"/>
        <v>1403.03</v>
      </c>
      <c r="F51" s="205" t="s">
        <v>267</v>
      </c>
    </row>
    <row r="52" spans="2:6" ht="14.25" hidden="1" thickBot="1">
      <c r="B52" s="312">
        <v>40878</v>
      </c>
      <c r="C52" s="239">
        <f>C51</f>
        <v>1414.66</v>
      </c>
      <c r="D52" s="329">
        <f>D51</f>
        <v>1529.9</v>
      </c>
      <c r="E52" s="324">
        <f t="shared" si="0"/>
        <v>1403.03</v>
      </c>
      <c r="F52" s="204" t="s">
        <v>243</v>
      </c>
    </row>
    <row r="53" spans="2:6" ht="13.5" hidden="1">
      <c r="B53" s="208">
        <v>40909</v>
      </c>
      <c r="C53" s="239">
        <f>D52</f>
        <v>1529.9</v>
      </c>
      <c r="D53" s="316"/>
      <c r="E53" s="330">
        <v>1510.57</v>
      </c>
      <c r="F53" s="205" t="s">
        <v>268</v>
      </c>
    </row>
    <row r="54" spans="2:5" ht="13.5" hidden="1">
      <c r="B54" s="208">
        <v>40940</v>
      </c>
      <c r="C54" s="239">
        <f>C53</f>
        <v>1529.9</v>
      </c>
      <c r="D54" s="316"/>
      <c r="E54" s="330">
        <f>E53</f>
        <v>1510.57</v>
      </c>
    </row>
    <row r="55" spans="2:5" ht="13.5" hidden="1">
      <c r="B55" s="208">
        <v>40969</v>
      </c>
      <c r="C55" s="239">
        <f>C54</f>
        <v>1529.9</v>
      </c>
      <c r="D55" s="316"/>
      <c r="E55" s="330">
        <f aca="true" t="shared" si="1" ref="E55:E64">E54</f>
        <v>1510.57</v>
      </c>
    </row>
    <row r="56" spans="2:5" ht="13.5" hidden="1">
      <c r="B56" s="337">
        <v>41000</v>
      </c>
      <c r="C56" s="239">
        <f>C55</f>
        <v>1529.9</v>
      </c>
      <c r="D56" s="316"/>
      <c r="E56" s="330">
        <f t="shared" si="1"/>
        <v>1510.57</v>
      </c>
    </row>
    <row r="57" spans="2:6" ht="13.5" hidden="1">
      <c r="B57" s="337">
        <v>41030</v>
      </c>
      <c r="C57" s="239">
        <f>C56</f>
        <v>1529.9</v>
      </c>
      <c r="D57" s="316"/>
      <c r="E57" s="330">
        <f t="shared" si="1"/>
        <v>1510.57</v>
      </c>
      <c r="F57" s="313" t="s">
        <v>275</v>
      </c>
    </row>
    <row r="58" spans="2:6" ht="14.25" hidden="1" thickBot="1">
      <c r="B58" s="337">
        <v>41061</v>
      </c>
      <c r="C58" s="240">
        <f>C57</f>
        <v>1529.9</v>
      </c>
      <c r="D58" s="316"/>
      <c r="E58" s="330">
        <f t="shared" si="1"/>
        <v>1510.57</v>
      </c>
      <c r="F58" s="313" t="s">
        <v>276</v>
      </c>
    </row>
    <row r="59" spans="2:6" ht="13.5" hidden="1">
      <c r="B59" s="338">
        <v>41091</v>
      </c>
      <c r="C59" s="323">
        <v>1446.51</v>
      </c>
      <c r="D59" s="316"/>
      <c r="E59" s="330">
        <f t="shared" si="1"/>
        <v>1510.57</v>
      </c>
      <c r="F59" s="205" t="s">
        <v>274</v>
      </c>
    </row>
    <row r="60" spans="2:6" ht="13.5" hidden="1">
      <c r="B60" s="338">
        <v>41122</v>
      </c>
      <c r="C60" s="323">
        <f>C59</f>
        <v>1446.51</v>
      </c>
      <c r="D60" s="316"/>
      <c r="E60" s="330">
        <f t="shared" si="1"/>
        <v>1510.57</v>
      </c>
      <c r="F60" s="205" t="s">
        <v>269</v>
      </c>
    </row>
    <row r="61" spans="2:5" ht="13.5" hidden="1">
      <c r="B61" s="338">
        <v>41153</v>
      </c>
      <c r="C61" s="323">
        <f aca="true" t="shared" si="2" ref="C61:C70">C60</f>
        <v>1446.51</v>
      </c>
      <c r="D61" s="316"/>
      <c r="E61" s="330">
        <f t="shared" si="1"/>
        <v>1510.57</v>
      </c>
    </row>
    <row r="62" spans="2:5" ht="13.5" hidden="1">
      <c r="B62" s="338">
        <v>41183</v>
      </c>
      <c r="C62" s="323">
        <f t="shared" si="2"/>
        <v>1446.51</v>
      </c>
      <c r="D62" s="316"/>
      <c r="E62" s="330">
        <f t="shared" si="1"/>
        <v>1510.57</v>
      </c>
    </row>
    <row r="63" spans="2:6" ht="13.5" hidden="1">
      <c r="B63" s="338">
        <v>41214</v>
      </c>
      <c r="C63" s="323">
        <f t="shared" si="2"/>
        <v>1446.51</v>
      </c>
      <c r="D63" s="316"/>
      <c r="E63" s="330">
        <f t="shared" si="1"/>
        <v>1510.57</v>
      </c>
      <c r="F63" s="336" t="s">
        <v>329</v>
      </c>
    </row>
    <row r="64" spans="2:6" ht="14.25" hidden="1" thickBot="1">
      <c r="B64" s="339">
        <v>41244</v>
      </c>
      <c r="C64" s="323">
        <f t="shared" si="2"/>
        <v>1446.51</v>
      </c>
      <c r="D64" s="316"/>
      <c r="E64" s="330">
        <f t="shared" si="1"/>
        <v>1510.57</v>
      </c>
      <c r="F64" s="336" t="s">
        <v>328</v>
      </c>
    </row>
    <row r="65" spans="2:5" ht="13.5" hidden="1">
      <c r="B65" s="338">
        <v>41275</v>
      </c>
      <c r="C65" s="323">
        <f t="shared" si="2"/>
        <v>1446.51</v>
      </c>
      <c r="D65" s="167"/>
      <c r="E65" s="344">
        <v>1491.39</v>
      </c>
    </row>
    <row r="66" spans="2:5" ht="13.5" hidden="1">
      <c r="B66" s="338">
        <v>41306</v>
      </c>
      <c r="C66" s="323">
        <f t="shared" si="2"/>
        <v>1446.51</v>
      </c>
      <c r="D66" s="167"/>
      <c r="E66" s="345">
        <f>E65</f>
        <v>1491.39</v>
      </c>
    </row>
    <row r="67" spans="2:5" ht="13.5" hidden="1">
      <c r="B67" s="338">
        <v>41334</v>
      </c>
      <c r="C67" s="323">
        <f t="shared" si="2"/>
        <v>1446.51</v>
      </c>
      <c r="D67" s="167"/>
      <c r="E67" s="345">
        <f aca="true" t="shared" si="3" ref="E67:E76">E66</f>
        <v>1491.39</v>
      </c>
    </row>
    <row r="68" spans="2:5" ht="13.5" hidden="1">
      <c r="B68" s="338">
        <v>41365</v>
      </c>
      <c r="C68" s="323">
        <f t="shared" si="2"/>
        <v>1446.51</v>
      </c>
      <c r="D68" s="167"/>
      <c r="E68" s="345">
        <f t="shared" si="3"/>
        <v>1491.39</v>
      </c>
    </row>
    <row r="69" spans="2:5" ht="13.5" hidden="1">
      <c r="B69" s="338">
        <v>41395</v>
      </c>
      <c r="C69" s="323">
        <f t="shared" si="2"/>
        <v>1446.51</v>
      </c>
      <c r="D69" s="167"/>
      <c r="E69" s="345">
        <f t="shared" si="3"/>
        <v>1491.39</v>
      </c>
    </row>
    <row r="70" spans="2:5" ht="14.25" hidden="1" thickBot="1">
      <c r="B70" s="338">
        <v>41426</v>
      </c>
      <c r="C70" s="324">
        <f t="shared" si="2"/>
        <v>1446.51</v>
      </c>
      <c r="D70" s="167"/>
      <c r="E70" s="345">
        <f t="shared" si="3"/>
        <v>1491.39</v>
      </c>
    </row>
    <row r="71" spans="2:5" ht="13.5" hidden="1">
      <c r="B71" s="338">
        <v>41456</v>
      </c>
      <c r="C71" s="326">
        <v>1586.22</v>
      </c>
      <c r="D71" s="167"/>
      <c r="E71" s="345">
        <f t="shared" si="3"/>
        <v>1491.39</v>
      </c>
    </row>
    <row r="72" spans="2:5" ht="13.5" hidden="1">
      <c r="B72" s="338">
        <v>41487</v>
      </c>
      <c r="C72" s="319">
        <f>C71</f>
        <v>1586.22</v>
      </c>
      <c r="D72" s="167"/>
      <c r="E72" s="345">
        <f t="shared" si="3"/>
        <v>1491.39</v>
      </c>
    </row>
    <row r="73" spans="2:5" ht="13.5" hidden="1">
      <c r="B73" s="338">
        <v>41518</v>
      </c>
      <c r="C73" s="319">
        <f aca="true" t="shared" si="4" ref="C73:C82">C72</f>
        <v>1586.22</v>
      </c>
      <c r="D73" s="167"/>
      <c r="E73" s="345">
        <f t="shared" si="3"/>
        <v>1491.39</v>
      </c>
    </row>
    <row r="74" spans="2:5" ht="13.5" hidden="1">
      <c r="B74" s="338">
        <v>41548</v>
      </c>
      <c r="C74" s="319">
        <f t="shared" si="4"/>
        <v>1586.22</v>
      </c>
      <c r="D74" s="167"/>
      <c r="E74" s="345">
        <f t="shared" si="3"/>
        <v>1491.39</v>
      </c>
    </row>
    <row r="75" spans="2:6" ht="13.5" hidden="1">
      <c r="B75" s="338">
        <v>41579</v>
      </c>
      <c r="C75" s="319">
        <f t="shared" si="4"/>
        <v>1586.22</v>
      </c>
      <c r="D75" s="167"/>
      <c r="E75" s="345">
        <f t="shared" si="3"/>
        <v>1491.39</v>
      </c>
      <c r="F75" s="335" t="s">
        <v>330</v>
      </c>
    </row>
    <row r="76" spans="2:6" ht="14.25" hidden="1" thickBot="1">
      <c r="B76" s="339">
        <v>41609</v>
      </c>
      <c r="C76" s="319">
        <f t="shared" si="4"/>
        <v>1586.22</v>
      </c>
      <c r="D76" s="167"/>
      <c r="E76" s="346">
        <f t="shared" si="3"/>
        <v>1491.39</v>
      </c>
      <c r="F76" s="335" t="s">
        <v>331</v>
      </c>
    </row>
    <row r="77" spans="2:5" ht="13.5" hidden="1">
      <c r="B77" s="338">
        <v>41640</v>
      </c>
      <c r="C77" s="319">
        <f t="shared" si="4"/>
        <v>1586.22</v>
      </c>
      <c r="D77" s="316"/>
      <c r="E77" s="342">
        <v>1541.29</v>
      </c>
    </row>
    <row r="78" spans="2:5" ht="13.5" hidden="1">
      <c r="B78" s="338">
        <v>41671</v>
      </c>
      <c r="C78" s="319">
        <f t="shared" si="4"/>
        <v>1586.22</v>
      </c>
      <c r="D78" s="316"/>
      <c r="E78" s="342">
        <f>E77</f>
        <v>1541.29</v>
      </c>
    </row>
    <row r="79" spans="2:5" ht="13.5" hidden="1">
      <c r="B79" s="338">
        <v>41699</v>
      </c>
      <c r="C79" s="319">
        <f t="shared" si="4"/>
        <v>1586.22</v>
      </c>
      <c r="D79" s="316"/>
      <c r="E79" s="342">
        <f aca="true" t="shared" si="5" ref="E79:E88">E78</f>
        <v>1541.29</v>
      </c>
    </row>
    <row r="80" spans="2:5" ht="13.5" hidden="1">
      <c r="B80" s="338">
        <v>41730</v>
      </c>
      <c r="C80" s="319">
        <f t="shared" si="4"/>
        <v>1586.22</v>
      </c>
      <c r="D80" s="316"/>
      <c r="E80" s="342">
        <f t="shared" si="5"/>
        <v>1541.29</v>
      </c>
    </row>
    <row r="81" spans="2:5" ht="13.5" hidden="1">
      <c r="B81" s="338">
        <v>41760</v>
      </c>
      <c r="C81" s="319">
        <f t="shared" si="4"/>
        <v>1586.22</v>
      </c>
      <c r="D81" s="316"/>
      <c r="E81" s="342">
        <f t="shared" si="5"/>
        <v>1541.29</v>
      </c>
    </row>
    <row r="82" spans="2:5" ht="14.25" hidden="1" thickBot="1">
      <c r="B82" s="338">
        <v>41791</v>
      </c>
      <c r="C82" s="321">
        <f t="shared" si="4"/>
        <v>1586.22</v>
      </c>
      <c r="D82" s="316"/>
      <c r="E82" s="342">
        <f t="shared" si="5"/>
        <v>1541.29</v>
      </c>
    </row>
    <row r="83" spans="2:5" ht="13.5" hidden="1">
      <c r="B83" s="314">
        <v>41821</v>
      </c>
      <c r="C83" s="333">
        <v>1586.06</v>
      </c>
      <c r="D83" s="316"/>
      <c r="E83" s="342">
        <f t="shared" si="5"/>
        <v>1541.29</v>
      </c>
    </row>
    <row r="84" spans="2:5" ht="13.5" hidden="1">
      <c r="B84" s="314">
        <v>41852</v>
      </c>
      <c r="C84" s="332">
        <f>C83</f>
        <v>1586.06</v>
      </c>
      <c r="D84" s="316"/>
      <c r="E84" s="342">
        <f t="shared" si="5"/>
        <v>1541.29</v>
      </c>
    </row>
    <row r="85" spans="2:5" ht="13.5" hidden="1">
      <c r="B85" s="314">
        <v>41883</v>
      </c>
      <c r="C85" s="332">
        <f aca="true" t="shared" si="6" ref="C85:C94">C84</f>
        <v>1586.06</v>
      </c>
      <c r="D85" s="316"/>
      <c r="E85" s="342">
        <f t="shared" si="5"/>
        <v>1541.29</v>
      </c>
    </row>
    <row r="86" spans="2:5" ht="13.5" hidden="1">
      <c r="B86" s="314">
        <v>41913</v>
      </c>
      <c r="C86" s="332">
        <f t="shared" si="6"/>
        <v>1586.06</v>
      </c>
      <c r="D86" s="316"/>
      <c r="E86" s="342">
        <f t="shared" si="5"/>
        <v>1541.29</v>
      </c>
    </row>
    <row r="87" spans="2:5" ht="13.5" hidden="1">
      <c r="B87" s="314">
        <v>41944</v>
      </c>
      <c r="C87" s="332">
        <f t="shared" si="6"/>
        <v>1586.06</v>
      </c>
      <c r="D87" s="316"/>
      <c r="E87" s="342">
        <f t="shared" si="5"/>
        <v>1541.29</v>
      </c>
    </row>
    <row r="88" spans="2:6" ht="14.25" hidden="1" thickBot="1">
      <c r="B88" s="315">
        <v>41974</v>
      </c>
      <c r="C88" s="332">
        <f t="shared" si="6"/>
        <v>1586.06</v>
      </c>
      <c r="D88" s="316"/>
      <c r="E88" s="343">
        <f t="shared" si="5"/>
        <v>1541.29</v>
      </c>
      <c r="F88" s="167"/>
    </row>
    <row r="89" spans="2:5" ht="12.75">
      <c r="B89" s="314">
        <v>42005</v>
      </c>
      <c r="C89" s="332">
        <f t="shared" si="6"/>
        <v>1586.06</v>
      </c>
      <c r="D89" s="316"/>
      <c r="E89" s="356">
        <v>1572.65</v>
      </c>
    </row>
    <row r="90" spans="2:5" ht="12.75">
      <c r="B90" s="314">
        <v>42036</v>
      </c>
      <c r="C90" s="332">
        <f t="shared" si="6"/>
        <v>1586.06</v>
      </c>
      <c r="D90" s="316"/>
      <c r="E90" s="356">
        <f>E89</f>
        <v>1572.65</v>
      </c>
    </row>
    <row r="91" spans="2:5" ht="12.75">
      <c r="B91" s="314">
        <v>42064</v>
      </c>
      <c r="C91" s="332">
        <f t="shared" si="6"/>
        <v>1586.06</v>
      </c>
      <c r="D91" s="316"/>
      <c r="E91" s="356">
        <f aca="true" t="shared" si="7" ref="E91:E100">E90</f>
        <v>1572.65</v>
      </c>
    </row>
    <row r="92" spans="2:5" ht="12.75">
      <c r="B92" s="314">
        <v>42095</v>
      </c>
      <c r="C92" s="332">
        <f t="shared" si="6"/>
        <v>1586.06</v>
      </c>
      <c r="D92" s="316"/>
      <c r="E92" s="356">
        <f t="shared" si="7"/>
        <v>1572.65</v>
      </c>
    </row>
    <row r="93" spans="2:5" ht="12.75">
      <c r="B93" s="314">
        <v>42125</v>
      </c>
      <c r="C93" s="332">
        <f t="shared" si="6"/>
        <v>1586.06</v>
      </c>
      <c r="D93" s="316"/>
      <c r="E93" s="356">
        <f t="shared" si="7"/>
        <v>1572.65</v>
      </c>
    </row>
    <row r="94" spans="2:5" ht="13.5" thickBot="1">
      <c r="B94" s="314">
        <v>42156</v>
      </c>
      <c r="C94" s="334">
        <f t="shared" si="6"/>
        <v>1586.06</v>
      </c>
      <c r="D94" s="316"/>
      <c r="E94" s="356">
        <f t="shared" si="7"/>
        <v>1572.65</v>
      </c>
    </row>
    <row r="95" spans="2:5" ht="12.75">
      <c r="B95" s="314">
        <v>42186</v>
      </c>
      <c r="C95" s="341">
        <v>1566.72</v>
      </c>
      <c r="D95" s="316"/>
      <c r="E95" s="356">
        <f t="shared" si="7"/>
        <v>1572.65</v>
      </c>
    </row>
    <row r="96" spans="2:5" ht="12.75">
      <c r="B96" s="314">
        <v>42217</v>
      </c>
      <c r="C96" s="341">
        <f>C95</f>
        <v>1566.72</v>
      </c>
      <c r="D96" s="316"/>
      <c r="E96" s="356">
        <f t="shared" si="7"/>
        <v>1572.65</v>
      </c>
    </row>
    <row r="97" spans="2:5" ht="12.75">
      <c r="B97" s="314">
        <v>42248</v>
      </c>
      <c r="C97" s="341">
        <f aca="true" t="shared" si="8" ref="C97:C106">C96</f>
        <v>1566.72</v>
      </c>
      <c r="D97" s="316"/>
      <c r="E97" s="356">
        <f t="shared" si="7"/>
        <v>1572.65</v>
      </c>
    </row>
    <row r="98" spans="2:5" ht="12.75">
      <c r="B98" s="314">
        <v>42278</v>
      </c>
      <c r="C98" s="341">
        <f t="shared" si="8"/>
        <v>1566.72</v>
      </c>
      <c r="D98" s="316"/>
      <c r="E98" s="356">
        <f t="shared" si="7"/>
        <v>1572.65</v>
      </c>
    </row>
    <row r="99" spans="2:5" ht="12.75">
      <c r="B99" s="314">
        <v>42309</v>
      </c>
      <c r="C99" s="341">
        <f t="shared" si="8"/>
        <v>1566.72</v>
      </c>
      <c r="D99" s="316"/>
      <c r="E99" s="356">
        <f t="shared" si="7"/>
        <v>1572.65</v>
      </c>
    </row>
    <row r="100" spans="2:5" ht="13.5" thickBot="1">
      <c r="B100" s="315">
        <v>42339</v>
      </c>
      <c r="C100" s="341">
        <f t="shared" si="8"/>
        <v>1566.72</v>
      </c>
      <c r="D100" s="316"/>
      <c r="E100" s="357">
        <f t="shared" si="7"/>
        <v>1572.65</v>
      </c>
    </row>
    <row r="101" spans="2:5" ht="12.75">
      <c r="B101" s="314">
        <v>42370</v>
      </c>
      <c r="C101" s="341">
        <f t="shared" si="8"/>
        <v>1566.72</v>
      </c>
      <c r="D101" s="316"/>
      <c r="E101" s="359">
        <v>1652.23</v>
      </c>
    </row>
    <row r="102" spans="2:5" ht="12.75">
      <c r="B102" s="314">
        <v>42401</v>
      </c>
      <c r="C102" s="341">
        <f t="shared" si="8"/>
        <v>1566.72</v>
      </c>
      <c r="D102" s="316"/>
      <c r="E102" s="359">
        <v>1652.23</v>
      </c>
    </row>
    <row r="103" spans="2:5" ht="12.75">
      <c r="B103" s="314">
        <v>42430</v>
      </c>
      <c r="C103" s="341">
        <f t="shared" si="8"/>
        <v>1566.72</v>
      </c>
      <c r="D103" s="316"/>
      <c r="E103" s="359">
        <v>1652.23</v>
      </c>
    </row>
    <row r="104" spans="2:5" ht="12.75">
      <c r="B104" s="314">
        <v>42461</v>
      </c>
      <c r="C104" s="341">
        <f t="shared" si="8"/>
        <v>1566.72</v>
      </c>
      <c r="D104" s="316"/>
      <c r="E104" s="359">
        <v>1652.23</v>
      </c>
    </row>
    <row r="105" spans="2:5" ht="12.75">
      <c r="B105" s="314">
        <v>42491</v>
      </c>
      <c r="C105" s="341">
        <f t="shared" si="8"/>
        <v>1566.72</v>
      </c>
      <c r="D105" s="316"/>
      <c r="E105" s="359">
        <v>1652.23</v>
      </c>
    </row>
    <row r="106" spans="2:5" ht="12.75">
      <c r="B106" s="314">
        <v>42522</v>
      </c>
      <c r="C106" s="358">
        <f t="shared" si="8"/>
        <v>1566.72</v>
      </c>
      <c r="D106" s="316"/>
      <c r="E106" s="359">
        <v>1652.23</v>
      </c>
    </row>
    <row r="107" spans="2:5" ht="12.75">
      <c r="B107" s="314">
        <v>42552</v>
      </c>
      <c r="C107" s="359">
        <v>1623.7</v>
      </c>
      <c r="D107" s="316"/>
      <c r="E107" s="359">
        <v>1652.23</v>
      </c>
    </row>
    <row r="108" spans="2:5" ht="12.75">
      <c r="B108" s="314">
        <v>42583</v>
      </c>
      <c r="C108" s="359">
        <f>C107</f>
        <v>1623.7</v>
      </c>
      <c r="D108" s="316"/>
      <c r="E108" s="359">
        <v>1652.23</v>
      </c>
    </row>
    <row r="109" spans="2:5" ht="12.75">
      <c r="B109" s="314">
        <v>42614</v>
      </c>
      <c r="C109" s="359">
        <f aca="true" t="shared" si="9" ref="C109:C118">C108</f>
        <v>1623.7</v>
      </c>
      <c r="D109" s="316"/>
      <c r="E109" s="359">
        <v>1652.23</v>
      </c>
    </row>
    <row r="110" spans="2:5" ht="12.75">
      <c r="B110" s="314">
        <v>42644</v>
      </c>
      <c r="C110" s="359">
        <f t="shared" si="9"/>
        <v>1623.7</v>
      </c>
      <c r="D110" s="316"/>
      <c r="E110" s="359">
        <v>1652.23</v>
      </c>
    </row>
    <row r="111" spans="2:5" ht="12.75">
      <c r="B111" s="314">
        <v>42675</v>
      </c>
      <c r="C111" s="359">
        <f t="shared" si="9"/>
        <v>1623.7</v>
      </c>
      <c r="D111" s="316"/>
      <c r="E111" s="359">
        <v>1652.23</v>
      </c>
    </row>
    <row r="112" spans="2:5" ht="13.5" thickBot="1">
      <c r="B112" s="315">
        <v>42705</v>
      </c>
      <c r="C112" s="359">
        <f t="shared" si="9"/>
        <v>1623.7</v>
      </c>
      <c r="D112" s="316"/>
      <c r="E112" s="359">
        <v>1652.23</v>
      </c>
    </row>
    <row r="113" spans="2:5" ht="12.75">
      <c r="B113" s="314">
        <v>42736</v>
      </c>
      <c r="C113" s="359">
        <f t="shared" si="9"/>
        <v>1623.7</v>
      </c>
      <c r="D113" s="316"/>
      <c r="E113" s="392"/>
    </row>
    <row r="114" spans="2:5" ht="12.75">
      <c r="B114" s="314">
        <v>42767</v>
      </c>
      <c r="C114" s="359">
        <f t="shared" si="9"/>
        <v>1623.7</v>
      </c>
      <c r="D114" s="316"/>
      <c r="E114" s="316"/>
    </row>
    <row r="115" spans="2:5" ht="12.75">
      <c r="B115" s="314">
        <v>42795</v>
      </c>
      <c r="C115" s="359">
        <f t="shared" si="9"/>
        <v>1623.7</v>
      </c>
      <c r="D115" s="316"/>
      <c r="E115" s="316"/>
    </row>
    <row r="116" spans="2:5" ht="13.5">
      <c r="B116" s="314">
        <v>42826</v>
      </c>
      <c r="C116" s="359">
        <f t="shared" si="9"/>
        <v>1623.7</v>
      </c>
      <c r="D116" s="316"/>
      <c r="E116" s="316"/>
    </row>
    <row r="117" spans="2:5" ht="13.5">
      <c r="B117" s="314">
        <v>42856</v>
      </c>
      <c r="C117" s="359">
        <f t="shared" si="9"/>
        <v>1623.7</v>
      </c>
      <c r="D117" s="316"/>
      <c r="E117" s="316"/>
    </row>
    <row r="118" spans="2:5" ht="13.5">
      <c r="B118" s="314">
        <v>42887</v>
      </c>
      <c r="C118" s="360">
        <f t="shared" si="9"/>
        <v>1623.7</v>
      </c>
      <c r="D118" s="316"/>
      <c r="E118" s="316"/>
    </row>
    <row r="119" spans="2:5" ht="13.5">
      <c r="B119" s="314">
        <v>42917</v>
      </c>
      <c r="C119" s="391">
        <v>1651.41</v>
      </c>
      <c r="D119" s="316"/>
      <c r="E119" s="316"/>
    </row>
    <row r="120" spans="2:5" ht="13.5">
      <c r="B120" s="314">
        <v>42948</v>
      </c>
      <c r="C120" s="391">
        <f>+C119</f>
        <v>1651.41</v>
      </c>
      <c r="D120" s="316"/>
      <c r="E120" s="316"/>
    </row>
    <row r="121" spans="2:5" ht="13.5">
      <c r="B121" s="314">
        <v>42979</v>
      </c>
      <c r="C121" s="391">
        <f aca="true" t="shared" si="10" ref="C121:C130">+C120</f>
        <v>1651.41</v>
      </c>
      <c r="D121" s="316"/>
      <c r="E121" s="316"/>
    </row>
    <row r="122" spans="2:5" ht="13.5">
      <c r="B122" s="314">
        <v>43009</v>
      </c>
      <c r="C122" s="391">
        <f t="shared" si="10"/>
        <v>1651.41</v>
      </c>
      <c r="D122" s="316"/>
      <c r="E122" s="316"/>
    </row>
    <row r="123" spans="2:5" ht="13.5">
      <c r="B123" s="314">
        <v>43040</v>
      </c>
      <c r="C123" s="391">
        <f t="shared" si="10"/>
        <v>1651.41</v>
      </c>
      <c r="D123" s="316"/>
      <c r="E123" s="316"/>
    </row>
    <row r="124" spans="2:5" ht="14.25" thickBot="1">
      <c r="B124" s="315">
        <v>43070</v>
      </c>
      <c r="C124" s="391">
        <f t="shared" si="10"/>
        <v>1651.41</v>
      </c>
      <c r="D124" s="316"/>
      <c r="E124" s="317"/>
    </row>
    <row r="125" spans="2:5" ht="13.5">
      <c r="B125" s="314">
        <v>43101</v>
      </c>
      <c r="C125" s="391">
        <f t="shared" si="10"/>
        <v>1651.41</v>
      </c>
      <c r="E125" s="392"/>
    </row>
    <row r="126" spans="2:5" ht="13.5">
      <c r="B126" s="314">
        <v>43132</v>
      </c>
      <c r="C126" s="391">
        <f t="shared" si="10"/>
        <v>1651.41</v>
      </c>
      <c r="E126" s="316"/>
    </row>
    <row r="127" spans="2:5" ht="13.5">
      <c r="B127" s="314">
        <v>43160</v>
      </c>
      <c r="C127" s="391">
        <f t="shared" si="10"/>
        <v>1651.41</v>
      </c>
      <c r="E127" s="316"/>
    </row>
    <row r="128" spans="2:5" ht="13.5">
      <c r="B128" s="314">
        <v>43191</v>
      </c>
      <c r="C128" s="391">
        <f t="shared" si="10"/>
        <v>1651.41</v>
      </c>
      <c r="E128" s="316"/>
    </row>
    <row r="129" spans="2:5" ht="13.5">
      <c r="B129" s="314">
        <v>43221</v>
      </c>
      <c r="C129" s="391">
        <f t="shared" si="10"/>
        <v>1651.41</v>
      </c>
      <c r="E129" s="316"/>
    </row>
    <row r="130" spans="2:5" ht="13.5">
      <c r="B130" s="314">
        <v>43252</v>
      </c>
      <c r="C130" s="391">
        <f t="shared" si="10"/>
        <v>1651.41</v>
      </c>
      <c r="E130" s="316"/>
    </row>
    <row r="131" spans="2:5" ht="12.75">
      <c r="B131" s="314">
        <v>43282</v>
      </c>
      <c r="C131" s="392"/>
      <c r="E131" s="316"/>
    </row>
    <row r="132" spans="2:5" ht="12.75">
      <c r="B132" s="314">
        <v>43313</v>
      </c>
      <c r="C132" s="316"/>
      <c r="E132" s="316"/>
    </row>
    <row r="133" spans="2:5" ht="12.75">
      <c r="B133" s="314">
        <v>43344</v>
      </c>
      <c r="C133" s="316"/>
      <c r="E133" s="316"/>
    </row>
    <row r="134" spans="2:5" ht="12.75">
      <c r="B134" s="314">
        <v>43374</v>
      </c>
      <c r="C134" s="316"/>
      <c r="E134" s="316"/>
    </row>
    <row r="135" spans="2:5" ht="12.75">
      <c r="B135" s="314">
        <v>43405</v>
      </c>
      <c r="C135" s="316"/>
      <c r="E135" s="316"/>
    </row>
    <row r="136" spans="2:5" ht="13.5" thickBot="1">
      <c r="B136" s="314">
        <v>43435</v>
      </c>
      <c r="C136" s="316"/>
      <c r="E136" s="317"/>
    </row>
    <row r="137" ht="12.75">
      <c r="C137" s="316"/>
    </row>
    <row r="138" ht="12.75">
      <c r="C138" s="316"/>
    </row>
    <row r="139" ht="12.75">
      <c r="C139" s="316"/>
    </row>
    <row r="140" ht="12.75">
      <c r="C140" s="316"/>
    </row>
    <row r="141" ht="12.75">
      <c r="C141" s="316"/>
    </row>
    <row r="142" ht="13.5" thickBot="1">
      <c r="C142" s="317"/>
    </row>
  </sheetData>
  <sheetProtection/>
  <printOptions/>
  <pageMargins left="0.75" right="0.75" top="1" bottom="1" header="0.5" footer="0.5"/>
  <pageSetup fitToHeight="0" fitToWidth="1" horizontalDpi="1200" verticalDpi="1200" orientation="portrait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zoomScale="85" zoomScaleNormal="85" zoomScaleSheetLayoutView="100" zoomScalePageLayoutView="0" workbookViewId="0" topLeftCell="A1">
      <selection activeCell="B6" sqref="B6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0.14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93" t="str">
        <f>+Transactions!B1</f>
        <v>AEP Formula Rate -- FERC Docket ER07-1069</v>
      </c>
      <c r="D1" s="393"/>
      <c r="E1" s="393"/>
      <c r="F1" s="393"/>
      <c r="G1" s="393"/>
      <c r="H1" s="393"/>
      <c r="K1" s="340">
        <v>2016</v>
      </c>
    </row>
    <row r="2" spans="3:8" ht="12.75">
      <c r="C2" s="393" t="s">
        <v>163</v>
      </c>
      <c r="D2" s="393"/>
      <c r="E2" s="393"/>
      <c r="F2" s="393"/>
      <c r="G2" s="393"/>
      <c r="H2" s="393"/>
    </row>
    <row r="3" spans="3:8" ht="12.75">
      <c r="C3" s="393" t="str">
        <f>"for period 01/01/"&amp;F8&amp;" - 12/31/"&amp;F8</f>
        <v>for period 01/01/2016 - 12/31/2016</v>
      </c>
      <c r="D3" s="393"/>
      <c r="E3" s="393"/>
      <c r="F3" s="393"/>
      <c r="G3" s="393"/>
      <c r="H3" s="393"/>
    </row>
    <row r="4" ht="12.75">
      <c r="C4" s="112"/>
    </row>
    <row r="5" spans="3:4" ht="12.75">
      <c r="C5" s="327" t="str">
        <f>"Prepared:  May 24, "&amp;K1+1&amp;""</f>
        <v>Prepared:  May 24, 2017</v>
      </c>
      <c r="D5" s="311"/>
    </row>
    <row r="6" ht="12.75">
      <c r="C6" s="112"/>
    </row>
    <row r="7" ht="12.75">
      <c r="C7" s="5"/>
    </row>
    <row r="8" ht="27.75" customHeight="1" thickBot="1">
      <c r="F8" s="198">
        <f>Transactions!N1</f>
        <v>2016</v>
      </c>
    </row>
    <row r="9" spans="5:11" ht="20.25" customHeight="1">
      <c r="E9" s="241" t="s">
        <v>198</v>
      </c>
      <c r="F9" s="188"/>
      <c r="G9" s="197" t="s">
        <v>168</v>
      </c>
      <c r="K9" s="48"/>
    </row>
    <row r="10" spans="2:7" ht="42" customHeight="1" thickBot="1">
      <c r="B10" s="174"/>
      <c r="E10" s="269" t="str">
        <f>"(per "&amp;$F8-1&amp;" Update of May "&amp;$F8-1&amp;")"</f>
        <v>(per 2015 Update of May 2015)</v>
      </c>
      <c r="F10" s="310" t="str">
        <f>"(per "&amp;F8+1&amp;" Update of May "&amp;F8+1&amp;")"</f>
        <v>(per 2017 Update of May 2017)</v>
      </c>
      <c r="G10" s="270" t="str">
        <f>"(per "&amp;$F8&amp;" Update of July "&amp;F8&amp;")"</f>
        <v>(per 2016 Update of July 2016)</v>
      </c>
    </row>
    <row r="11" spans="2:7" ht="21.75" customHeight="1">
      <c r="B11" s="176"/>
      <c r="C11" s="194" t="s">
        <v>166</v>
      </c>
      <c r="D11" s="193" t="s">
        <v>164</v>
      </c>
      <c r="E11" s="293">
        <f>Transactions!K2</f>
        <v>156176810.2136109</v>
      </c>
      <c r="F11" s="182"/>
      <c r="G11" s="294">
        <f>+Transactions!K7</f>
        <v>159986178</v>
      </c>
    </row>
    <row r="12" spans="2:7" ht="21.75" customHeight="1">
      <c r="B12" s="176"/>
      <c r="C12" s="183"/>
      <c r="D12" s="200" t="s">
        <v>172</v>
      </c>
      <c r="E12" s="189"/>
      <c r="F12" s="181">
        <f>+Transactions!J2</f>
        <v>161925610.6610576</v>
      </c>
      <c r="G12" s="190"/>
    </row>
    <row r="13" spans="2:7" ht="21.75" customHeight="1">
      <c r="B13" s="175"/>
      <c r="C13" s="195" t="s">
        <v>167</v>
      </c>
      <c r="D13" s="192" t="s">
        <v>165</v>
      </c>
      <c r="E13" s="295">
        <f>Transactions!K3</f>
        <v>1566.72</v>
      </c>
      <c r="F13" s="296"/>
      <c r="G13" s="297">
        <f>+Transactions!K8</f>
        <v>1623.7</v>
      </c>
    </row>
    <row r="14" spans="2:7" ht="21.75" customHeight="1" thickBot="1">
      <c r="B14" s="174"/>
      <c r="C14" s="184"/>
      <c r="D14" s="199" t="s">
        <v>171</v>
      </c>
      <c r="E14" s="185"/>
      <c r="F14" s="267">
        <f>+Transactions!J3</f>
        <v>1652.23</v>
      </c>
      <c r="G14" s="186"/>
    </row>
    <row r="15" spans="2:5" ht="12.75">
      <c r="B15" s="176"/>
      <c r="E15" s="146"/>
    </row>
    <row r="16" spans="2:18" ht="13.5">
      <c r="B16" s="175"/>
      <c r="C16" s="175"/>
      <c r="D16" s="191"/>
      <c r="E16" s="175"/>
      <c r="F16" s="177"/>
      <c r="G16" s="178"/>
      <c r="J16" s="16"/>
      <c r="K16" s="146"/>
      <c r="M16" s="13"/>
      <c r="N16" s="166"/>
      <c r="O16" s="166"/>
      <c r="P16" s="166"/>
      <c r="Q16" s="166"/>
      <c r="R16" s="166"/>
    </row>
    <row r="17" spans="3:18" ht="12.75">
      <c r="C17" s="5"/>
      <c r="M17" s="30"/>
      <c r="N17" s="166"/>
      <c r="O17" s="166"/>
      <c r="P17" s="166"/>
      <c r="Q17" s="166"/>
      <c r="R17" s="166"/>
    </row>
    <row r="18" spans="3:18" ht="12.75">
      <c r="C18" s="13"/>
      <c r="D18" s="13"/>
      <c r="E18" s="13"/>
      <c r="F18" s="13"/>
      <c r="G18" s="13"/>
      <c r="H18" s="13"/>
      <c r="M18" s="13"/>
      <c r="N18" s="166"/>
      <c r="O18" s="166"/>
      <c r="P18" s="166"/>
      <c r="Q18" s="166"/>
      <c r="R18" s="166"/>
    </row>
    <row r="19" spans="3:18" ht="21" customHeight="1" thickBot="1">
      <c r="C19" s="179" t="s">
        <v>158</v>
      </c>
      <c r="D19" s="179" t="s">
        <v>159</v>
      </c>
      <c r="E19" s="180" t="s">
        <v>160</v>
      </c>
      <c r="F19" s="180" t="s">
        <v>161</v>
      </c>
      <c r="G19" s="179" t="s">
        <v>162</v>
      </c>
      <c r="H19" s="180" t="s">
        <v>170</v>
      </c>
      <c r="M19" s="13"/>
      <c r="N19" s="166"/>
      <c r="O19" s="166"/>
      <c r="P19" s="166"/>
      <c r="Q19" s="166"/>
      <c r="R19" s="166"/>
    </row>
    <row r="20" spans="3:18" ht="53.25" customHeight="1">
      <c r="C20" s="254" t="s">
        <v>215</v>
      </c>
      <c r="D20" s="171" t="str">
        <f>"Actual Charge
("&amp;F8&amp;" True-Up)"</f>
        <v>Actual Charge
(2016 True-Up)</v>
      </c>
      <c r="E20" s="172" t="str">
        <f>"Invoiced for
CY"&amp;F8&amp;" Transmission Service"</f>
        <v>Invoiced for
CY2016 Transmission Service</v>
      </c>
      <c r="F20" s="171" t="s">
        <v>169</v>
      </c>
      <c r="G20" s="173" t="s">
        <v>115</v>
      </c>
      <c r="H20" s="196" t="s">
        <v>194</v>
      </c>
      <c r="M20" s="13"/>
      <c r="N20" s="166"/>
      <c r="O20" s="166"/>
      <c r="P20" s="166"/>
      <c r="Q20" s="166"/>
      <c r="R20" s="166"/>
    </row>
    <row r="21" spans="2:18" ht="12.75">
      <c r="B21" s="236"/>
      <c r="C21" s="167" t="s">
        <v>137</v>
      </c>
      <c r="D21" s="168">
        <f>GETPIVOTDATA("Sum of "&amp;T(Transactions!$J$19),Pivot!$A$3,"Customer",C21)</f>
        <v>13611070.740000002</v>
      </c>
      <c r="E21" s="168">
        <f>GETPIVOTDATA("Sum of "&amp;T(Transactions!$K$19),Pivot!$A$3,"Customer",C21)</f>
        <v>13161055.06</v>
      </c>
      <c r="F21" s="168">
        <f>D21-E21</f>
        <v>450015.68000000156</v>
      </c>
      <c r="G21" s="166">
        <f>+GETPIVOTDATA("Sum of "&amp;T(Transactions!$M$19),Pivot!$A$3,"Customer","AECC")</f>
        <v>16222.017549557566</v>
      </c>
      <c r="H21" s="169">
        <f>F21+G21</f>
        <v>466237.6975495591</v>
      </c>
      <c r="J21" s="366"/>
      <c r="K21" s="236"/>
      <c r="M21" s="13"/>
      <c r="N21" s="166"/>
      <c r="O21" s="166"/>
      <c r="P21" s="166"/>
      <c r="Q21" s="166"/>
      <c r="R21" s="166"/>
    </row>
    <row r="22" spans="2:18" ht="12.75">
      <c r="B22" s="236"/>
      <c r="C22" s="187" t="s">
        <v>221</v>
      </c>
      <c r="D22" s="168">
        <f>GETPIVOTDATA("Sum of "&amp;T(Transactions!$J$19),Pivot!$A$3,"Customer",C22)</f>
        <v>2326339.84</v>
      </c>
      <c r="E22" s="168">
        <f>GETPIVOTDATA("Sum of "&amp;T(Transactions!$K$19),Pivot!$A$3,"Customer",C22)</f>
        <v>2250044.2800000003</v>
      </c>
      <c r="F22" s="168">
        <f aca="true" t="shared" si="0" ref="F22:F36">D22-E22</f>
        <v>76295.55999999959</v>
      </c>
      <c r="G22" s="166">
        <f>+GETPIVOTDATA("Sum of "&amp;T(Transactions!$M$19),Pivot!$A$3,"Customer","Bentonville, AR")</f>
        <v>2714.037744729152</v>
      </c>
      <c r="H22" s="169">
        <f aca="true" t="shared" si="1" ref="H22:H36">F22+G22</f>
        <v>79009.59774472874</v>
      </c>
      <c r="J22" s="366"/>
      <c r="K22" s="236"/>
      <c r="M22" s="13"/>
      <c r="N22" s="166"/>
      <c r="O22" s="166"/>
      <c r="P22" s="166"/>
      <c r="Q22" s="166"/>
      <c r="R22" s="166"/>
    </row>
    <row r="23" spans="2:18" ht="12.75">
      <c r="B23" s="236"/>
      <c r="C23" s="167" t="s">
        <v>142</v>
      </c>
      <c r="D23" s="168">
        <f>GETPIVOTDATA("Sum of "&amp;T(Transactions!$J$19),Pivot!$A$3,"Customer",C23)</f>
        <v>1777799.48</v>
      </c>
      <c r="E23" s="168">
        <f>GETPIVOTDATA("Sum of "&amp;T(Transactions!$K$19),Pivot!$A$3,"Customer",C23)</f>
        <v>1717414.6199999999</v>
      </c>
      <c r="F23" s="168">
        <f t="shared" si="0"/>
        <v>60384.8600000001</v>
      </c>
      <c r="G23" s="166">
        <f>+GETPIVOTDATA("Sum of "&amp;T(Transactions!$M$19),Pivot!$A$3,"Customer","Coffeyville, KS")</f>
        <v>2211.073696449438</v>
      </c>
      <c r="H23" s="169">
        <f t="shared" si="1"/>
        <v>62595.93369644954</v>
      </c>
      <c r="J23" s="367"/>
      <c r="K23" s="236"/>
      <c r="M23" s="13"/>
      <c r="N23" s="166"/>
      <c r="O23" s="166"/>
      <c r="P23" s="166"/>
      <c r="Q23" s="166"/>
      <c r="R23" s="166"/>
    </row>
    <row r="24" spans="2:18" ht="12.75">
      <c r="B24" s="236"/>
      <c r="C24" s="187" t="s">
        <v>136</v>
      </c>
      <c r="D24" s="168">
        <f>GETPIVOTDATA("Sum of "&amp;T(Transactions!$J$19),Pivot!$A$3,"Customer",C24)</f>
        <v>3884392.7299999995</v>
      </c>
      <c r="E24" s="168">
        <f>GETPIVOTDATA("Sum of "&amp;T(Transactions!$K$19),Pivot!$A$3,"Customer",C24)</f>
        <v>3791107.9000000004</v>
      </c>
      <c r="F24" s="168">
        <f t="shared" si="0"/>
        <v>93284.82999999914</v>
      </c>
      <c r="G24" s="166">
        <f>+GETPIVOTDATA("Sum of "&amp;T(Transactions!$M$19),Pivot!$A$3,"Customer","ETEC")</f>
        <v>2625.9628112610744</v>
      </c>
      <c r="H24" s="169">
        <f t="shared" si="1"/>
        <v>95910.79281126022</v>
      </c>
      <c r="J24" s="367"/>
      <c r="K24" s="236"/>
      <c r="M24" s="30"/>
      <c r="N24" s="166"/>
      <c r="O24" s="166"/>
      <c r="P24" s="166"/>
      <c r="Q24" s="166"/>
      <c r="R24" s="166"/>
    </row>
    <row r="25" spans="2:18" ht="12.75">
      <c r="B25" s="236"/>
      <c r="C25" s="167" t="s">
        <v>140</v>
      </c>
      <c r="D25" s="168">
        <f>GETPIVOTDATA("Sum of "&amp;T(Transactions!$J$19),Pivot!$A$3,"Customer",C25)</f>
        <v>143744.00999999998</v>
      </c>
      <c r="E25" s="168">
        <f>GETPIVOTDATA("Sum of "&amp;T(Transactions!$K$19),Pivot!$A$3,"Customer",C25)</f>
        <v>139324.58</v>
      </c>
      <c r="F25" s="168">
        <f t="shared" si="0"/>
        <v>4419.429999999993</v>
      </c>
      <c r="G25" s="166">
        <f>+GETPIVOTDATA("Sum of "&amp;T(Transactions!$M$19),Pivot!$A$3,"Customer","Greenbelt")</f>
        <v>155.88656443943822</v>
      </c>
      <c r="H25" s="169">
        <f t="shared" si="1"/>
        <v>4575.316564439431</v>
      </c>
      <c r="J25" s="368"/>
      <c r="K25" s="236"/>
      <c r="L25" s="235"/>
      <c r="M25" s="235"/>
      <c r="N25" s="235"/>
      <c r="O25" s="235"/>
      <c r="P25" s="166"/>
      <c r="Q25" s="166"/>
      <c r="R25" s="166"/>
    </row>
    <row r="26" spans="2:18" ht="12.75">
      <c r="B26" s="236"/>
      <c r="C26" s="167" t="s">
        <v>224</v>
      </c>
      <c r="D26" s="168">
        <f>GETPIVOTDATA("Sum of "&amp;T(Transactions!$J$19),Pivot!$A$3,"Customer",C26)</f>
        <v>941771.1000000001</v>
      </c>
      <c r="E26" s="168">
        <f>GETPIVOTDATA("Sum of "&amp;T(Transactions!$K$19),Pivot!$A$3,"Customer",C26)</f>
        <v>910580.24</v>
      </c>
      <c r="F26" s="168">
        <f t="shared" si="0"/>
        <v>31190.860000000102</v>
      </c>
      <c r="G26" s="166">
        <f>+GETPIVOTDATA("Sum of "&amp;T(Transactions!$M$19),Pivot!$A$3,"Customer","Hope, AR")</f>
        <v>1116.2342032153786</v>
      </c>
      <c r="H26" s="169">
        <f t="shared" si="1"/>
        <v>32307.09420321548</v>
      </c>
      <c r="J26" s="368"/>
      <c r="K26" s="236"/>
      <c r="L26" s="235"/>
      <c r="M26" s="235"/>
      <c r="N26" s="235"/>
      <c r="O26" s="235"/>
      <c r="P26" s="166"/>
      <c r="Q26" s="166"/>
      <c r="R26" s="166"/>
    </row>
    <row r="27" spans="2:18" ht="12.75">
      <c r="B27" s="236"/>
      <c r="C27" s="167" t="s">
        <v>141</v>
      </c>
      <c r="D27" s="168">
        <f>GETPIVOTDATA("Sum of "&amp;T(Transactions!$J$19),Pivot!$A$3,"Customer",C27)</f>
        <v>28087.91</v>
      </c>
      <c r="E27" s="168">
        <f>GETPIVOTDATA("Sum of "&amp;T(Transactions!$K$19),Pivot!$A$3,"Customer",C27)</f>
        <v>27204.040000000005</v>
      </c>
      <c r="F27" s="168">
        <f t="shared" si="0"/>
        <v>883.8699999999953</v>
      </c>
      <c r="G27" s="166">
        <f>+GETPIVOTDATA("Sum of "&amp;T(Transactions!$M$19),Pivot!$A$3,"Customer","Lighthouse")</f>
        <v>30.764907791084205</v>
      </c>
      <c r="H27" s="169">
        <f t="shared" si="1"/>
        <v>914.6349077910795</v>
      </c>
      <c r="J27" s="367"/>
      <c r="K27" s="236"/>
      <c r="M27" s="13"/>
      <c r="N27" s="166"/>
      <c r="O27" s="166"/>
      <c r="P27" s="166"/>
      <c r="Q27" s="166"/>
      <c r="R27" s="166"/>
    </row>
    <row r="28" spans="2:18" ht="12.75">
      <c r="B28" s="236"/>
      <c r="C28" s="187" t="s">
        <v>223</v>
      </c>
      <c r="D28" s="168">
        <f>GETPIVOTDATA("Sum of "&amp;T(Transactions!$J$19),Pivot!$A$3,"Customer",C28)</f>
        <v>527061.3699999999</v>
      </c>
      <c r="E28" s="168">
        <f>GETPIVOTDATA("Sum of "&amp;T(Transactions!$K$19),Pivot!$A$3,"Customer",C28)</f>
        <v>509641.22</v>
      </c>
      <c r="F28" s="168">
        <f t="shared" si="0"/>
        <v>17420.149999999907</v>
      </c>
      <c r="G28" s="166">
        <f>+GETPIVOTDATA("Sum of "&amp;T(Transactions!$M$19),Pivot!$A$3,"Customer","Minden, LA")</f>
        <v>619.7640124103502</v>
      </c>
      <c r="H28" s="169">
        <f t="shared" si="1"/>
        <v>18039.914012410256</v>
      </c>
      <c r="J28" s="367"/>
      <c r="K28" s="236"/>
      <c r="M28" s="13"/>
      <c r="N28" s="166"/>
      <c r="O28" s="166"/>
      <c r="P28" s="166"/>
      <c r="Q28" s="166"/>
      <c r="R28" s="166"/>
    </row>
    <row r="29" spans="2:11" ht="12.75">
      <c r="B29" s="236"/>
      <c r="C29" s="167" t="s">
        <v>138</v>
      </c>
      <c r="D29" s="168">
        <f>GETPIVOTDATA("Sum of "&amp;T(Transactions!$J$19),Pivot!$A$3,"Customer",C29)</f>
        <v>9627544.21</v>
      </c>
      <c r="E29" s="168">
        <f>GETPIVOTDATA("Sum of "&amp;T(Transactions!$K$19),Pivot!$A$3,"Customer",C29)</f>
        <v>9265402.66</v>
      </c>
      <c r="F29" s="168">
        <f t="shared" si="0"/>
        <v>362141.55000000075</v>
      </c>
      <c r="G29" s="166">
        <f>+GETPIVOTDATA("Sum of "&amp;T(Transactions!$M$19),Pivot!$A$3,"Customer","NTEC")</f>
        <v>14021.150594549044</v>
      </c>
      <c r="H29" s="169">
        <f t="shared" si="1"/>
        <v>376162.70059454977</v>
      </c>
      <c r="J29" s="367"/>
      <c r="K29" s="236"/>
    </row>
    <row r="30" spans="2:11" ht="12.75">
      <c r="B30" s="236"/>
      <c r="C30" s="187" t="s">
        <v>144</v>
      </c>
      <c r="D30" s="168">
        <f>GETPIVOTDATA("Sum of "&amp;T(Transactions!$J$19),Pivot!$A$3,"Customer",C30)</f>
        <v>317228.16</v>
      </c>
      <c r="E30" s="168">
        <f>GETPIVOTDATA("Sum of "&amp;T(Transactions!$K$19),Pivot!$A$3,"Customer",C30)</f>
        <v>306052.39999999997</v>
      </c>
      <c r="F30" s="168">
        <f t="shared" si="0"/>
        <v>11175.76000000001</v>
      </c>
      <c r="G30" s="166">
        <f>+GETPIVOTDATA("Sum of "&amp;T(Transactions!$M$19),Pivot!$A$3,"Customer","OG&amp;E")</f>
        <v>396.45672252107613</v>
      </c>
      <c r="H30" s="169">
        <f t="shared" si="1"/>
        <v>11572.216722521085</v>
      </c>
      <c r="J30" s="367"/>
      <c r="K30" s="236"/>
    </row>
    <row r="31" spans="2:11" ht="12.75">
      <c r="B31" s="236"/>
      <c r="C31" s="167" t="s">
        <v>117</v>
      </c>
      <c r="D31" s="168">
        <f>GETPIVOTDATA("Sum of "&amp;T(Transactions!$J$19),Pivot!$A$3,"Customer",C31)</f>
        <v>2131376.6999999997</v>
      </c>
      <c r="E31" s="168">
        <f>GETPIVOTDATA("Sum of "&amp;T(Transactions!$K$19),Pivot!$A$3,"Customer",C31)</f>
        <v>2062721.1799999997</v>
      </c>
      <c r="F31" s="168">
        <f t="shared" si="0"/>
        <v>68655.52000000002</v>
      </c>
      <c r="G31" s="166">
        <f>+GETPIVOTDATA("Sum of "&amp;T(Transactions!$M$19),Pivot!$A$3,"Customer","OMPA")</f>
        <v>2405.3096807800553</v>
      </c>
      <c r="H31" s="169">
        <f t="shared" si="1"/>
        <v>71060.82968078008</v>
      </c>
      <c r="J31" s="367"/>
      <c r="K31" s="236"/>
    </row>
    <row r="32" spans="2:11" ht="12.75">
      <c r="B32" s="236"/>
      <c r="C32" s="167" t="s">
        <v>222</v>
      </c>
      <c r="D32" s="168">
        <f>GETPIVOTDATA("Sum of "&amp;T(Transactions!$J$19),Pivot!$A$3,"Customer",C32)</f>
        <v>247834.5</v>
      </c>
      <c r="E32" s="168">
        <f>GETPIVOTDATA("Sum of "&amp;T(Transactions!$K$19),Pivot!$A$3,"Customer",C32)</f>
        <v>239566.4</v>
      </c>
      <c r="F32" s="168">
        <f t="shared" si="0"/>
        <v>8268.100000000006</v>
      </c>
      <c r="G32" s="166">
        <f>+GETPIVOTDATA("Sum of "&amp;T(Transactions!$M$19),Pivot!$A$3,"Customer","Prescott, AR")</f>
        <v>299.7659119072365</v>
      </c>
      <c r="H32" s="169">
        <f t="shared" si="1"/>
        <v>8567.865911907242</v>
      </c>
      <c r="J32" s="367"/>
      <c r="K32" s="236"/>
    </row>
    <row r="33" spans="2:11" ht="12.75">
      <c r="B33" s="236"/>
      <c r="C33" s="167" t="s">
        <v>139</v>
      </c>
      <c r="D33" s="168">
        <f>GETPIVOTDATA("Sum of "&amp;T(Transactions!$J$19),Pivot!$A$3,"Customer",C33)</f>
        <v>1574575.19</v>
      </c>
      <c r="E33" s="168">
        <f>GETPIVOTDATA("Sum of "&amp;T(Transactions!$K$19),Pivot!$A$3,"Customer",C33)</f>
        <v>1516559.9200000002</v>
      </c>
      <c r="F33" s="168">
        <f t="shared" si="0"/>
        <v>58015.269999999786</v>
      </c>
      <c r="G33" s="166">
        <f>+GETPIVOTDATA("Sum of "&amp;T(Transactions!$M$19),Pivot!$A$3,"Customer","TEXLA")</f>
        <v>2219.044146726397</v>
      </c>
      <c r="H33" s="169">
        <f t="shared" si="1"/>
        <v>60234.31414672618</v>
      </c>
      <c r="J33" s="367"/>
      <c r="K33" s="236"/>
    </row>
    <row r="34" spans="2:11" ht="12.75">
      <c r="B34" s="236"/>
      <c r="C34" s="170" t="s">
        <v>118</v>
      </c>
      <c r="D34" s="168">
        <f>GETPIVOTDATA("Sum of "&amp;T(Transactions!$J$19),Pivot!$A$3,"Customer",C34)</f>
        <v>662544.23</v>
      </c>
      <c r="E34" s="168">
        <f>GETPIVOTDATA("Sum of "&amp;T(Transactions!$K$19),Pivot!$A$3,"Customer",C34)</f>
        <v>639935.62</v>
      </c>
      <c r="F34" s="168">
        <f t="shared" si="0"/>
        <v>22608.609999999986</v>
      </c>
      <c r="G34" s="166">
        <f>+GETPIVOTDATA("Sum of "&amp;T(Transactions!$M$19),Pivot!$A$3,"Customer","WFEC")</f>
        <v>826.7962626123862</v>
      </c>
      <c r="H34" s="169">
        <f t="shared" si="1"/>
        <v>23435.40626261237</v>
      </c>
      <c r="J34" s="367"/>
      <c r="K34" s="236"/>
    </row>
    <row r="35" spans="3:10" ht="24">
      <c r="C35" s="298" t="s">
        <v>192</v>
      </c>
      <c r="D35" s="299">
        <f>SUM(D21:D34)</f>
        <v>37801370.17</v>
      </c>
      <c r="E35" s="299">
        <f>SUM(E21:E34)</f>
        <v>36536610.11999999</v>
      </c>
      <c r="F35" s="299">
        <f>SUM(F21:F34)</f>
        <v>1264760.0500000007</v>
      </c>
      <c r="G35" s="300">
        <f>SUM(G21:G34)</f>
        <v>45864.26480894967</v>
      </c>
      <c r="H35" s="301">
        <f>SUM(H21:H34)</f>
        <v>1310624.3148089505</v>
      </c>
      <c r="J35" s="367"/>
    </row>
    <row r="36" spans="3:10" ht="12.75">
      <c r="C36" s="378" t="s">
        <v>146</v>
      </c>
      <c r="D36" s="168">
        <f>GETPIVOTDATA("Sum of "&amp;T(Transactions!$J$19),Pivot!$A$3,"Customer",C36)</f>
        <v>62322115.60000001</v>
      </c>
      <c r="E36" s="168">
        <f>GETPIVOTDATA("Sum of "&amp;T(Transactions!$K$19),Pivot!$A$3,"Customer",C36)</f>
        <v>60281976.36</v>
      </c>
      <c r="F36" s="168">
        <f t="shared" si="0"/>
        <v>2040139.2400000095</v>
      </c>
      <c r="G36" s="166">
        <f>+GETPIVOTDATA("Sum of "&amp;T(Transactions!$M$19),Pivot!$A$3,"Customer","PSO")</f>
        <v>72364.2248365187</v>
      </c>
      <c r="H36" s="169">
        <f t="shared" si="1"/>
        <v>2112503.464836528</v>
      </c>
      <c r="I36" s="236"/>
      <c r="J36" s="367"/>
    </row>
    <row r="37" spans="3:10" ht="12.75">
      <c r="C37" s="379" t="s">
        <v>147</v>
      </c>
      <c r="D37" s="168">
        <f>GETPIVOTDATA("Sum of "&amp;T(Transactions!$J$19),Pivot!$A$3,"Customer",C37)</f>
        <v>59296882.470000006</v>
      </c>
      <c r="E37" s="168">
        <f>GETPIVOTDATA("Sum of "&amp;T(Transactions!$K$19),Pivot!$A$3,"Customer",C37)</f>
        <v>57313141.199999996</v>
      </c>
      <c r="F37" s="168">
        <f>D37-E37</f>
        <v>1983741.2700000107</v>
      </c>
      <c r="G37" s="166">
        <f>+GETPIVOTDATA("Sum of "&amp;T(Transactions!$M$19),Pivot!$A$3,"Customer","SWEPCO")</f>
        <v>71565.00601029886</v>
      </c>
      <c r="H37" s="169">
        <f>F37+G37</f>
        <v>2055306.2760103096</v>
      </c>
      <c r="I37" s="236"/>
      <c r="J37" s="367"/>
    </row>
    <row r="38" spans="3:10" ht="12.75">
      <c r="C38" s="380" t="s">
        <v>344</v>
      </c>
      <c r="D38" s="168">
        <f>GETPIVOTDATA("Sum of "&amp;T(Transactions!$J$19),Pivot!$A$3,"Customer",C38)</f>
        <v>2506432.9099999997</v>
      </c>
      <c r="E38" s="168">
        <f>GETPIVOTDATA("Sum of "&amp;T(Transactions!$K$19),Pivot!$A$3,"Customer",C38)</f>
        <v>2420417.9</v>
      </c>
      <c r="F38" s="168">
        <f>D38-E38</f>
        <v>86015.00999999978</v>
      </c>
      <c r="G38" s="166">
        <f>+GETPIVOTDATA("Sum of "&amp;T(Transactions!$M$19),Pivot!$A$3,"Customer","SWEPCO-Valley")</f>
        <v>3169.8970363367916</v>
      </c>
      <c r="H38" s="169">
        <f>F38+G38</f>
        <v>89184.90703633658</v>
      </c>
      <c r="J38" s="367"/>
    </row>
    <row r="39" spans="3:10" ht="24">
      <c r="C39" s="256" t="s">
        <v>218</v>
      </c>
      <c r="D39" s="257">
        <f>SUM(D36:D38)</f>
        <v>124125430.98000002</v>
      </c>
      <c r="E39" s="257">
        <f>SUM(E36:E38)</f>
        <v>120015535.46000001</v>
      </c>
      <c r="F39" s="257">
        <f>SUM(F36:F38)</f>
        <v>4109895.52000002</v>
      </c>
      <c r="G39" s="258">
        <f>SUM(G36:G38)</f>
        <v>147099.12788315435</v>
      </c>
      <c r="H39" s="259">
        <f>SUM(H36:H38)</f>
        <v>4256994.647883174</v>
      </c>
      <c r="J39" s="367"/>
    </row>
    <row r="40" spans="3:10" ht="23.25" customHeight="1" thickBot="1">
      <c r="C40" s="234" t="s">
        <v>193</v>
      </c>
      <c r="D40" s="231">
        <f>SUM(D35,D39)</f>
        <v>161926801.15000004</v>
      </c>
      <c r="E40" s="232">
        <f>SUM(E35,E39)</f>
        <v>156552145.57999998</v>
      </c>
      <c r="F40" s="231">
        <f>SUM(F35,F39)</f>
        <v>5374655.570000021</v>
      </c>
      <c r="G40" s="232">
        <f>SUM(G35,G39)</f>
        <v>192963.392692104</v>
      </c>
      <c r="H40" s="233">
        <f>SUM(H35,H39)</f>
        <v>5567618.962692125</v>
      </c>
      <c r="J40" s="367"/>
    </row>
    <row r="41" spans="5:7" ht="12.75">
      <c r="E41" s="13"/>
      <c r="F41" s="13"/>
      <c r="G41" s="13"/>
    </row>
    <row r="42" spans="3:4" ht="12.75">
      <c r="C42" s="25"/>
      <c r="D42" s="384"/>
    </row>
    <row r="43" ht="12.75">
      <c r="C43" s="25"/>
    </row>
    <row r="44" ht="12.75">
      <c r="C44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4"/>
  <sheetViews>
    <sheetView showGridLines="0" zoomScaleSheetLayoutView="100" zoomScalePageLayoutView="0" workbookViewId="0" topLeftCell="A1">
      <selection activeCell="J3" sqref="J3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213</v>
      </c>
      <c r="C1" s="1"/>
      <c r="D1" s="4"/>
      <c r="E1" s="1"/>
      <c r="F1" s="289" t="s">
        <v>121</v>
      </c>
      <c r="G1" s="290"/>
      <c r="H1" s="291"/>
      <c r="I1" s="130"/>
      <c r="J1" s="131" t="str">
        <f>"True-Up ARR
(CY"&amp;N1&amp;")"</f>
        <v>True-Up ARR
(CY2016)</v>
      </c>
      <c r="K1" s="131" t="str">
        <f>"Projected ARR
(Jul'"&amp;RIGHT(N$1-1,2)&amp;" - Jun'"&amp;RIGHT(N$1,2)&amp;")"</f>
        <v>Projected ARR
(Jul'15 - Jun'16)</v>
      </c>
      <c r="L1" s="276" t="s">
        <v>209</v>
      </c>
      <c r="M1" s="285"/>
      <c r="N1" s="347">
        <v>2016</v>
      </c>
      <c r="O1" s="302" t="s">
        <v>250</v>
      </c>
    </row>
    <row r="2" spans="2:14" ht="12.75">
      <c r="B2" s="5" t="s">
        <v>219</v>
      </c>
      <c r="C2" s="1"/>
      <c r="D2" s="4"/>
      <c r="E2" s="1"/>
      <c r="F2" s="126">
        <v>9</v>
      </c>
      <c r="G2" s="396" t="s">
        <v>254</v>
      </c>
      <c r="H2" s="396"/>
      <c r="I2" s="249" t="s">
        <v>111</v>
      </c>
      <c r="J2" s="381">
        <v>161925610.6610576</v>
      </c>
      <c r="K2" s="381">
        <v>156176810.2136109</v>
      </c>
      <c r="L2" s="328" t="s">
        <v>370</v>
      </c>
      <c r="M2" s="280"/>
      <c r="N2"/>
    </row>
    <row r="3" spans="2:14" ht="12.75">
      <c r="B3" s="5" t="str">
        <f>"for CY"&amp;N1&amp;" SPP Network Transmission Service"</f>
        <v>for CY2016 SPP Network Transmission Service</v>
      </c>
      <c r="C3" s="1"/>
      <c r="D3" s="4"/>
      <c r="E3" s="1"/>
      <c r="F3" s="126"/>
      <c r="G3" s="396" t="str">
        <f>"of CY"&amp;$N$1</f>
        <v>of CY2016</v>
      </c>
      <c r="H3" s="396"/>
      <c r="I3" s="249" t="s">
        <v>119</v>
      </c>
      <c r="J3" s="382">
        <v>1652.23</v>
      </c>
      <c r="K3" s="382">
        <v>1566.72</v>
      </c>
      <c r="L3" s="277" t="str">
        <f>"Inv. Jan-Jun'"&amp;RIGHT(N1,2)</f>
        <v>Inv. Jan-Jun'16</v>
      </c>
      <c r="M3" s="280"/>
      <c r="N3"/>
    </row>
    <row r="4" spans="2:14" ht="12.75">
      <c r="B4" s="112"/>
      <c r="C4" s="1"/>
      <c r="D4" s="4"/>
      <c r="E4" s="1"/>
      <c r="F4" s="126"/>
      <c r="G4" s="16"/>
      <c r="H4" s="16"/>
      <c r="I4" s="283"/>
      <c r="J4" s="16"/>
      <c r="K4" s="80"/>
      <c r="L4" s="16"/>
      <c r="M4" s="127"/>
      <c r="N4"/>
    </row>
    <row r="5" spans="2:14" ht="12.75">
      <c r="B5" s="112"/>
      <c r="C5" s="1"/>
      <c r="D5" s="4"/>
      <c r="E5" s="1"/>
      <c r="F5" s="126"/>
      <c r="G5" s="16"/>
      <c r="H5" s="16"/>
      <c r="I5" s="249"/>
      <c r="J5" s="16"/>
      <c r="K5" s="80"/>
      <c r="L5" s="16"/>
      <c r="M5" s="281"/>
      <c r="N5" s="26"/>
    </row>
    <row r="6" spans="2:31" ht="34.5" thickBot="1">
      <c r="B6" s="5" t="s">
        <v>148</v>
      </c>
      <c r="D6" s="4"/>
      <c r="E6" s="1"/>
      <c r="F6" s="292"/>
      <c r="G6" s="287"/>
      <c r="H6" s="288"/>
      <c r="I6" s="250"/>
      <c r="J6" s="132" t="str">
        <f>J1</f>
        <v>True-Up ARR
(CY2016)</v>
      </c>
      <c r="K6" s="132" t="str">
        <f>"Projected ARR
(Jul'"&amp;RIGHT(N$1,2)&amp;" - Jun'"&amp;RIGHT(N$1+1,2)&amp;")"</f>
        <v>Projected ARR
(Jul'16 - Jun'17)</v>
      </c>
      <c r="L6" s="278"/>
      <c r="M6" s="286"/>
      <c r="N6"/>
      <c r="O6" s="36" t="s">
        <v>2</v>
      </c>
      <c r="P6" s="9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45"/>
    </row>
    <row r="7" spans="2:31" ht="12.75">
      <c r="B7" s="112" t="s">
        <v>271</v>
      </c>
      <c r="D7" s="4"/>
      <c r="E7" s="1"/>
      <c r="F7" s="126"/>
      <c r="G7" s="397" t="s">
        <v>255</v>
      </c>
      <c r="H7" s="396"/>
      <c r="I7" s="249" t="s">
        <v>111</v>
      </c>
      <c r="J7" s="160">
        <f>+J2</f>
        <v>161925610.6610576</v>
      </c>
      <c r="K7" s="381">
        <v>159986178</v>
      </c>
      <c r="L7" s="328" t="s">
        <v>369</v>
      </c>
      <c r="M7" s="282"/>
      <c r="N7"/>
      <c r="O7" s="144" t="s">
        <v>1</v>
      </c>
      <c r="P7" s="99"/>
      <c r="V7" s="26"/>
      <c r="W7" s="143" t="s">
        <v>208</v>
      </c>
      <c r="AE7" s="26"/>
    </row>
    <row r="8" spans="2:31" ht="12.75">
      <c r="B8" s="5"/>
      <c r="C8" s="1"/>
      <c r="D8" s="4"/>
      <c r="E8" s="1"/>
      <c r="F8" s="126"/>
      <c r="G8" s="396" t="str">
        <f>"of CY"&amp;$N$1</f>
        <v>of CY2016</v>
      </c>
      <c r="H8" s="396"/>
      <c r="I8" s="249" t="s">
        <v>119</v>
      </c>
      <c r="J8" s="75">
        <f>+J3</f>
        <v>1652.23</v>
      </c>
      <c r="K8" s="382">
        <v>1623.7</v>
      </c>
      <c r="L8" s="279" t="str">
        <f>"Inv. Jul-Dec'"&amp;RIGHT(N1,2)</f>
        <v>Inv. Jul-Dec'16</v>
      </c>
      <c r="M8" s="280"/>
      <c r="N8" s="26"/>
      <c r="O8" s="10">
        <f>DATE(N1,1,1)</f>
        <v>42370</v>
      </c>
      <c r="P8" s="10">
        <f aca="true" t="shared" si="0" ref="P8:U8">DATE(YEAR(O8),MONTH(O8)+3,DAY(O8))</f>
        <v>42461</v>
      </c>
      <c r="Q8" s="10">
        <f t="shared" si="0"/>
        <v>42552</v>
      </c>
      <c r="R8" s="10">
        <f t="shared" si="0"/>
        <v>42644</v>
      </c>
      <c r="S8" s="10">
        <f t="shared" si="0"/>
        <v>42736</v>
      </c>
      <c r="T8" s="10">
        <f t="shared" si="0"/>
        <v>42826</v>
      </c>
      <c r="U8" s="10">
        <f t="shared" si="0"/>
        <v>42917</v>
      </c>
      <c r="V8" s="245">
        <f>DATE(YEAR(U8),MONTH(U8)+3,DAY(U8))</f>
        <v>43009</v>
      </c>
      <c r="W8" s="348" t="str">
        <f>"7/1/"&amp;N1+1</f>
        <v>7/1/2017</v>
      </c>
      <c r="X8" s="25"/>
      <c r="AE8" s="26"/>
    </row>
    <row r="9" spans="2:31" ht="12.75">
      <c r="B9" s="53"/>
      <c r="C9" s="1"/>
      <c r="D9" s="4"/>
      <c r="E9" s="1"/>
      <c r="F9" s="126"/>
      <c r="G9" s="16"/>
      <c r="H9" s="16"/>
      <c r="I9" s="304"/>
      <c r="J9" s="305"/>
      <c r="K9" s="306"/>
      <c r="L9" s="307"/>
      <c r="M9" s="280"/>
      <c r="N9" s="26"/>
      <c r="O9" s="6"/>
      <c r="P9" s="6"/>
      <c r="Q9" s="6"/>
      <c r="R9"/>
      <c r="S9" s="10"/>
      <c r="T9" s="10"/>
      <c r="U9" s="10"/>
      <c r="V9" s="26"/>
      <c r="W9" s="135"/>
      <c r="AE9" s="26"/>
    </row>
    <row r="10" spans="2:31" ht="13.5" thickBot="1">
      <c r="B10" s="112"/>
      <c r="D10"/>
      <c r="E10" s="54"/>
      <c r="F10" s="128"/>
      <c r="G10" s="129"/>
      <c r="H10" s="59"/>
      <c r="I10" s="308"/>
      <c r="J10" s="161"/>
      <c r="K10" s="161"/>
      <c r="L10" s="309"/>
      <c r="M10" s="284"/>
      <c r="N10" s="218"/>
      <c r="O10" s="9">
        <f aca="true" t="shared" si="1" ref="O10:V10">VLOOKUP(O19,tbl_QtrPrimRat,2,FALSE)</f>
        <v>0.0325</v>
      </c>
      <c r="P10" s="9">
        <f t="shared" si="1"/>
        <v>0.03456666666666667</v>
      </c>
      <c r="Q10" s="9">
        <f t="shared" si="1"/>
        <v>0.035</v>
      </c>
      <c r="R10" s="9">
        <f t="shared" si="1"/>
        <v>0.035</v>
      </c>
      <c r="S10" s="9">
        <f t="shared" si="1"/>
        <v>0.035</v>
      </c>
      <c r="T10" s="9">
        <f t="shared" si="1"/>
        <v>0.035</v>
      </c>
      <c r="U10" s="9">
        <f>VLOOKUP(U19,tbl_QtrPrimRat,2,FALSE)</f>
        <v>0.0357</v>
      </c>
      <c r="V10" s="101">
        <f t="shared" si="1"/>
        <v>0.0371</v>
      </c>
      <c r="W10" s="136" t="s">
        <v>3</v>
      </c>
      <c r="X10" s="68"/>
      <c r="Y10" s="71"/>
      <c r="Z10" s="71"/>
      <c r="AE10" s="26"/>
    </row>
    <row r="11" spans="5:31" ht="12.75"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9.470319634703197E-05</v>
      </c>
      <c r="Q11" s="18">
        <f t="shared" si="2"/>
        <v>9.589041095890412E-05</v>
      </c>
      <c r="R11" s="18">
        <f t="shared" si="2"/>
        <v>9.589041095890412E-05</v>
      </c>
      <c r="S11" s="18">
        <f t="shared" si="2"/>
        <v>9.589041095890412E-05</v>
      </c>
      <c r="T11" s="18">
        <f t="shared" si="2"/>
        <v>9.589041095890412E-05</v>
      </c>
      <c r="U11" s="18">
        <f t="shared" si="2"/>
        <v>9.78082191780822E-05</v>
      </c>
      <c r="V11" s="102">
        <f t="shared" si="2"/>
        <v>0.00010164383561643836</v>
      </c>
      <c r="W11" s="137" t="s">
        <v>4</v>
      </c>
      <c r="X11" s="34"/>
      <c r="Y11" s="108"/>
      <c r="Z11" s="108"/>
      <c r="AE11" s="26"/>
    </row>
    <row r="12" spans="5:31" ht="12.75">
      <c r="E12" s="54"/>
      <c r="L12" s="8"/>
      <c r="N12" s="217" t="s">
        <v>230</v>
      </c>
      <c r="O12" s="17">
        <f aca="true" t="shared" si="3" ref="O12:U12">IF($W8-O8&lt;0,0,IF($W8-P8&lt;0,$W8-O8,P8-O8))</f>
        <v>91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3">
        <f>IF($W8-V8&lt;0,0,W8-V8)</f>
        <v>0</v>
      </c>
      <c r="W12" s="138" t="s">
        <v>5</v>
      </c>
      <c r="X12" s="35"/>
      <c r="Y12" s="13"/>
      <c r="Z12" s="13"/>
      <c r="AE12" s="26"/>
    </row>
    <row r="13" spans="5:31" ht="12.75">
      <c r="E13" s="54"/>
      <c r="F13" s="265"/>
      <c r="G13" s="266"/>
      <c r="H13" s="266"/>
      <c r="I13" s="262" t="s">
        <v>228</v>
      </c>
      <c r="J13" s="133">
        <f>SUM(J56:J223)</f>
        <v>37801370.17000002</v>
      </c>
      <c r="K13" s="133">
        <f>SUM(K56:K223)</f>
        <v>36536610.120000035</v>
      </c>
      <c r="L13" s="151">
        <f>SUM(L56:L223)</f>
        <v>1264760.0499999982</v>
      </c>
      <c r="M13" s="134">
        <f>SUM(M56:M223)</f>
        <v>45864.26480894969</v>
      </c>
      <c r="N13" s="151">
        <f>SUM(N56:N223)</f>
        <v>1310624.3148089494</v>
      </c>
      <c r="O13" s="17"/>
      <c r="P13" s="17"/>
      <c r="Q13" s="17"/>
      <c r="R13" s="17"/>
      <c r="S13" s="17"/>
      <c r="T13" s="17"/>
      <c r="U13" s="17"/>
      <c r="V13" s="103"/>
      <c r="W13" s="150"/>
      <c r="X13" s="13"/>
      <c r="Y13" s="13"/>
      <c r="Z13" s="13"/>
      <c r="AE13" s="26"/>
    </row>
    <row r="14" spans="5:31" ht="12.75">
      <c r="E14" s="54"/>
      <c r="F14" s="81"/>
      <c r="G14" s="81"/>
      <c r="H14" s="81"/>
      <c r="I14" s="264" t="s">
        <v>229</v>
      </c>
      <c r="J14" s="133">
        <f>SUM(J20:J223)</f>
        <v>161926801.14999992</v>
      </c>
      <c r="K14" s="133">
        <f>SUM(K20:K223)</f>
        <v>156552145.58</v>
      </c>
      <c r="L14" s="151">
        <f>SUM(L20:L223)</f>
        <v>5374655.569999997</v>
      </c>
      <c r="M14" s="134">
        <f>SUM(M20:M223)</f>
        <v>192963.3926921039</v>
      </c>
      <c r="N14" s="151">
        <f>SUM(N20:N223)</f>
        <v>5567618.962692096</v>
      </c>
      <c r="O14" s="17"/>
      <c r="P14" s="17"/>
      <c r="Q14" s="17"/>
      <c r="R14" s="17"/>
      <c r="S14" s="17"/>
      <c r="T14" s="17"/>
      <c r="U14" s="17"/>
      <c r="V14" s="103"/>
      <c r="W14" s="150"/>
      <c r="X14" s="13"/>
      <c r="Y14" s="13"/>
      <c r="Z14" s="13"/>
      <c r="AE14" s="26"/>
    </row>
    <row r="15" spans="2:31" ht="12.75">
      <c r="B15" s="113" t="s">
        <v>122</v>
      </c>
      <c r="E15" s="54"/>
      <c r="J15" s="7"/>
      <c r="L15" s="8"/>
      <c r="M15" s="27"/>
      <c r="N15" s="152" t="s">
        <v>145</v>
      </c>
      <c r="O15" s="17"/>
      <c r="P15" s="17"/>
      <c r="Q15" s="17"/>
      <c r="R15" s="17"/>
      <c r="S15" s="17"/>
      <c r="T15" s="17"/>
      <c r="U15" s="17"/>
      <c r="V15" s="103"/>
      <c r="W15" s="11"/>
      <c r="AE15" s="26"/>
    </row>
    <row r="16" spans="2:31" ht="12.75">
      <c r="B16" s="162" t="str">
        <f>"** Actual Trued-Up CY"&amp;N1&amp;" Charge reflects "&amp;N1&amp;" True-UP Rate x MW"</f>
        <v>** Actual Trued-Up CY2016 Charge reflects 2016 True-UP Rate x MW</v>
      </c>
      <c r="E16" s="54"/>
      <c r="F16" s="16"/>
      <c r="G16" s="2"/>
      <c r="J16" s="72"/>
      <c r="L16" s="82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3"/>
      <c r="W16" s="11"/>
      <c r="AB16" s="69"/>
      <c r="AC16" s="69"/>
      <c r="AD16" s="69"/>
      <c r="AE16" s="35"/>
    </row>
    <row r="17" spans="2:31" ht="12.75">
      <c r="B17" s="79" t="s">
        <v>241</v>
      </c>
      <c r="E17" s="54"/>
      <c r="I17" s="32"/>
      <c r="J17" s="61"/>
      <c r="K17" s="31"/>
      <c r="L17" s="31"/>
      <c r="M17" s="31"/>
      <c r="N17" s="100"/>
      <c r="O17" s="20"/>
      <c r="P17" s="20"/>
      <c r="Q17" s="20"/>
      <c r="R17" s="20"/>
      <c r="S17" s="20"/>
      <c r="T17" s="20"/>
      <c r="U17" s="20"/>
      <c r="V17" s="21"/>
      <c r="W17" s="139" t="s">
        <v>113</v>
      </c>
      <c r="X17" s="67"/>
      <c r="Y17" s="67"/>
      <c r="Z17" s="67"/>
      <c r="AA17" s="67"/>
      <c r="AB17" s="13"/>
      <c r="AC17" s="13"/>
      <c r="AD17" s="13"/>
      <c r="AE17" s="73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4"/>
      <c r="W18" s="140"/>
      <c r="X18" s="14"/>
      <c r="Y18" s="14"/>
      <c r="Z18" s="14"/>
      <c r="AA18" s="14"/>
      <c r="AB18" s="14"/>
      <c r="AC18" s="14"/>
      <c r="AD18" s="14"/>
      <c r="AE18" s="394" t="s">
        <v>114</v>
      </c>
    </row>
    <row r="19" spans="2:31" ht="38.25" customHeight="1">
      <c r="B19" s="91" t="s">
        <v>220</v>
      </c>
      <c r="C19" s="92" t="s">
        <v>107</v>
      </c>
      <c r="D19" s="92" t="s">
        <v>108</v>
      </c>
      <c r="E19" s="93" t="s">
        <v>0</v>
      </c>
      <c r="F19" s="97" t="s">
        <v>121</v>
      </c>
      <c r="G19" s="94" t="s">
        <v>6</v>
      </c>
      <c r="H19" s="248" t="s">
        <v>212</v>
      </c>
      <c r="I19" s="248" t="s">
        <v>210</v>
      </c>
      <c r="J19" s="268" t="str">
        <f>"True-Up Charge"</f>
        <v>True-Up Charge</v>
      </c>
      <c r="K19" s="268" t="s">
        <v>211</v>
      </c>
      <c r="L19" s="95" t="s">
        <v>103</v>
      </c>
      <c r="M19" s="9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1Q2016</v>
      </c>
      <c r="P19" s="51" t="str">
        <f t="shared" si="4"/>
        <v>2Q2016</v>
      </c>
      <c r="Q19" s="51" t="str">
        <f t="shared" si="4"/>
        <v>3Q2016</v>
      </c>
      <c r="R19" s="51" t="str">
        <f t="shared" si="4"/>
        <v>4Q2016</v>
      </c>
      <c r="S19" s="51" t="str">
        <f t="shared" si="4"/>
        <v>1Q2017</v>
      </c>
      <c r="T19" s="51" t="str">
        <f t="shared" si="4"/>
        <v>2Q2017</v>
      </c>
      <c r="U19" s="51" t="str">
        <f>IF(MONTH(U8)&lt;4,"1Q",IF(MONTH(U8)&lt;7,"2Q",IF(MONTH(U8)&lt;10,"3Q","4Q")))&amp;YEAR(U8)</f>
        <v>3Q2017</v>
      </c>
      <c r="V19" s="105" t="str">
        <f t="shared" si="4"/>
        <v>4Q2017</v>
      </c>
      <c r="W19" s="33" t="str">
        <f aca="true" t="shared" si="5" ref="W19:AD19">+O19</f>
        <v>1Q2016</v>
      </c>
      <c r="X19" s="12" t="str">
        <f t="shared" si="5"/>
        <v>2Q2016</v>
      </c>
      <c r="Y19" s="12" t="str">
        <f t="shared" si="5"/>
        <v>3Q2016</v>
      </c>
      <c r="Z19" s="12" t="str">
        <f t="shared" si="5"/>
        <v>4Q2016</v>
      </c>
      <c r="AA19" s="12" t="str">
        <f t="shared" si="5"/>
        <v>1Q2017</v>
      </c>
      <c r="AB19" s="12" t="str">
        <f t="shared" si="5"/>
        <v>2Q2017</v>
      </c>
      <c r="AC19" s="12" t="str">
        <f t="shared" si="5"/>
        <v>3Q2017</v>
      </c>
      <c r="AD19" s="12" t="str">
        <f t="shared" si="5"/>
        <v>4Q2017</v>
      </c>
      <c r="AE19" s="395"/>
    </row>
    <row r="20" spans="1:31" s="13" customFormat="1" ht="12.75" customHeight="1">
      <c r="A20" s="16">
        <v>1</v>
      </c>
      <c r="B20" s="15">
        <f>DATE($N$1,A20,1)</f>
        <v>42370</v>
      </c>
      <c r="C20" s="361">
        <v>42403</v>
      </c>
      <c r="D20" s="361">
        <f aca="true" t="shared" si="6" ref="D20:D31">IF(WEEKDAY(C20+15)=1,C20+16,IF(WEEKDAY(C20+15)=7,C20+17,(C20+15)))</f>
        <v>42418</v>
      </c>
      <c r="E20" s="118" t="s">
        <v>146</v>
      </c>
      <c r="F20" s="16">
        <v>9</v>
      </c>
      <c r="G20" s="362">
        <v>2618</v>
      </c>
      <c r="H20" s="246">
        <f aca="true" t="shared" si="7" ref="H20:H25">$K$3</f>
        <v>1566.72</v>
      </c>
      <c r="I20" s="246">
        <f>$J$3</f>
        <v>1652.23</v>
      </c>
      <c r="J20" s="56">
        <f aca="true" t="shared" si="8" ref="J20:J96">+$G20*I20</f>
        <v>4325538.14</v>
      </c>
      <c r="K20" s="57">
        <f aca="true" t="shared" si="9" ref="K20:K33">+$G20*H20</f>
        <v>4101672.96</v>
      </c>
      <c r="L20" s="58">
        <f aca="true" t="shared" si="10" ref="L20:L34">+J20-K20</f>
        <v>223865.1799999997</v>
      </c>
      <c r="M20" s="55">
        <f aca="true" t="shared" si="11" ref="M20:M25">+AE20</f>
        <v>10831.573370072461</v>
      </c>
      <c r="N20" s="29">
        <f>SUM(L20:M20)</f>
        <v>234696.75337007217</v>
      </c>
      <c r="O20" s="16">
        <f aca="true" t="shared" si="12" ref="O20:R31">IF($D20&lt;O$8,O$12,IF($D20&lt;P$8,P$8-$D20,0))</f>
        <v>43</v>
      </c>
      <c r="P20" s="16">
        <f t="shared" si="12"/>
        <v>91</v>
      </c>
      <c r="Q20" s="16">
        <f t="shared" si="12"/>
        <v>92</v>
      </c>
      <c r="R20" s="16">
        <f t="shared" si="12"/>
        <v>92</v>
      </c>
      <c r="S20" s="16">
        <f aca="true" t="shared" si="13" ref="S20:U25">IF($D20&lt;S$8,S$12,IF($D20&lt;T$8,T$8-$D20,0))</f>
        <v>90</v>
      </c>
      <c r="T20" s="16">
        <f t="shared" si="13"/>
        <v>91</v>
      </c>
      <c r="U20" s="16">
        <f t="shared" si="13"/>
        <v>0</v>
      </c>
      <c r="V20" s="106">
        <f>IF(W$8&lt;V$8,0,IF($D20&lt;V$8,V$12,IF($D20&lt;W$8,W$8-$D20,0)))</f>
        <v>0</v>
      </c>
      <c r="W20" s="141">
        <f>$L20*O$11*O20</f>
        <v>857.1276412328756</v>
      </c>
      <c r="X20" s="63">
        <f>($L20+SUM($W20:W20))*(P$11*P20)</f>
        <v>1936.6547949936255</v>
      </c>
      <c r="Y20" s="63">
        <f>($L20+SUM($W20:X20))*(Q$11*Q20)</f>
        <v>1999.5667371086258</v>
      </c>
      <c r="Z20" s="63">
        <f>($L20+SUM($W20:Y20))*(R$11*R20)</f>
        <v>2017.2067505154473</v>
      </c>
      <c r="AA20" s="63">
        <f>($L20+SUM($W20:Z20))*(S$11*S20)</f>
        <v>1990.763200438708</v>
      </c>
      <c r="AB20" s="63">
        <f>($L20+SUM($W20:AA20))*(T$11*T20)</f>
        <v>2030.2542457831794</v>
      </c>
      <c r="AC20" s="63">
        <f>($L20+SUM($W20:AB20))*(U$11*U20)</f>
        <v>0</v>
      </c>
      <c r="AD20" s="63">
        <f>($L20+SUM($W20:AC20))*(V$11*V20)</f>
        <v>0</v>
      </c>
      <c r="AE20" s="109">
        <f aca="true" t="shared" si="14" ref="AE20:AE25">SUM(W20:AD20)</f>
        <v>10831.573370072461</v>
      </c>
    </row>
    <row r="21" spans="1:33" ht="12.75">
      <c r="A21" s="3">
        <v>2</v>
      </c>
      <c r="B21" s="15">
        <f aca="true" t="shared" si="15" ref="B21:B96">DATE($N$1,A21,1)</f>
        <v>42401</v>
      </c>
      <c r="C21" s="361">
        <v>42432</v>
      </c>
      <c r="D21" s="361">
        <f t="shared" si="6"/>
        <v>42447</v>
      </c>
      <c r="E21" s="70" t="s">
        <v>146</v>
      </c>
      <c r="F21" s="3">
        <v>9</v>
      </c>
      <c r="G21" s="362">
        <v>2395</v>
      </c>
      <c r="H21" s="246">
        <f t="shared" si="7"/>
        <v>1566.72</v>
      </c>
      <c r="I21" s="246">
        <f aca="true" t="shared" si="16" ref="I21:I63">$J$3</f>
        <v>1652.23</v>
      </c>
      <c r="J21" s="56">
        <f t="shared" si="8"/>
        <v>3957090.85</v>
      </c>
      <c r="K21" s="57">
        <f t="shared" si="9"/>
        <v>3752294.4</v>
      </c>
      <c r="L21" s="58">
        <f t="shared" si="10"/>
        <v>204796.4500000002</v>
      </c>
      <c r="M21" s="55">
        <f t="shared" si="11"/>
        <v>9356.649186605635</v>
      </c>
      <c r="N21" s="29">
        <f>SUM(L21:M21)</f>
        <v>214153.09918660583</v>
      </c>
      <c r="O21" s="16">
        <f t="shared" si="12"/>
        <v>14</v>
      </c>
      <c r="P21" s="16">
        <f t="shared" si="12"/>
        <v>91</v>
      </c>
      <c r="Q21" s="16">
        <f t="shared" si="12"/>
        <v>92</v>
      </c>
      <c r="R21" s="16">
        <f t="shared" si="12"/>
        <v>92</v>
      </c>
      <c r="S21" s="16">
        <f t="shared" si="13"/>
        <v>90</v>
      </c>
      <c r="T21" s="16">
        <f t="shared" si="13"/>
        <v>91</v>
      </c>
      <c r="U21" s="16">
        <f t="shared" si="13"/>
        <v>0</v>
      </c>
      <c r="V21" s="106">
        <f aca="true" t="shared" si="17" ref="V21:V91">IF(W$8&lt;V$8,0,IF($D21&lt;V$8,V$12,IF($D21&lt;W$8,W$8-$D21,0)))</f>
        <v>0</v>
      </c>
      <c r="W21" s="141">
        <f aca="true" t="shared" si="18" ref="W21:W31">$L21*O$11*O21</f>
        <v>255.2942047945208</v>
      </c>
      <c r="X21" s="63">
        <f>($L21+SUM($W21:W21))*(P$11*P21)</f>
        <v>1767.1340589382523</v>
      </c>
      <c r="Y21" s="63">
        <f>($L21+SUM($W21:X21))*(Q$11*Q21)</f>
        <v>1824.5391452307404</v>
      </c>
      <c r="Z21" s="63">
        <f>($L21+SUM($W21:Y21))*(R$11*R21)</f>
        <v>1840.6350796078443</v>
      </c>
      <c r="AA21" s="63">
        <f>($L21+SUM($W21:Z21))*(S$11*S21)</f>
        <v>1816.5062064082204</v>
      </c>
      <c r="AB21" s="63">
        <f>($L21+SUM($W21:AA21))*(T$11*T21)</f>
        <v>1852.5404916260563</v>
      </c>
      <c r="AC21" s="63">
        <f>($L21+SUM($W21:AB21))*(U$11*U21)</f>
        <v>0</v>
      </c>
      <c r="AD21" s="63">
        <f>($L21+SUM($W21:AC21))*(V$11*V21)</f>
        <v>0</v>
      </c>
      <c r="AE21" s="110">
        <f t="shared" si="14"/>
        <v>9356.649186605635</v>
      </c>
      <c r="AG21" s="303"/>
    </row>
    <row r="22" spans="1:31" ht="12.75">
      <c r="A22" s="3">
        <v>3</v>
      </c>
      <c r="B22" s="15">
        <f t="shared" si="15"/>
        <v>42430</v>
      </c>
      <c r="C22" s="361">
        <v>42465</v>
      </c>
      <c r="D22" s="361">
        <f t="shared" si="6"/>
        <v>42480</v>
      </c>
      <c r="E22" s="70" t="s">
        <v>146</v>
      </c>
      <c r="F22" s="3">
        <v>9</v>
      </c>
      <c r="G22" s="362">
        <v>2322</v>
      </c>
      <c r="H22" s="246">
        <f t="shared" si="7"/>
        <v>1566.72</v>
      </c>
      <c r="I22" s="246">
        <f t="shared" si="16"/>
        <v>1652.23</v>
      </c>
      <c r="J22" s="56">
        <f t="shared" si="8"/>
        <v>3836478.06</v>
      </c>
      <c r="K22" s="57">
        <f t="shared" si="9"/>
        <v>3637923.84</v>
      </c>
      <c r="L22" s="58">
        <f t="shared" si="10"/>
        <v>198554.2200000002</v>
      </c>
      <c r="M22" s="55">
        <f t="shared" si="11"/>
        <v>8443.017929819613</v>
      </c>
      <c r="N22" s="29">
        <f>SUM(L22:M22)</f>
        <v>206997.23792981982</v>
      </c>
      <c r="O22" s="16">
        <f>IF($D22&lt;O$8,O$12,IF($D22&lt;P$8,P$8-$D22,0))</f>
        <v>0</v>
      </c>
      <c r="P22" s="16">
        <f>IF($D22&lt;P$8,P$12,IF($D22&lt;Q$8,Q$8-$D22,0))</f>
        <v>72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3"/>
        <v>90</v>
      </c>
      <c r="T22" s="16">
        <f t="shared" si="13"/>
        <v>91</v>
      </c>
      <c r="U22" s="16">
        <f t="shared" si="13"/>
        <v>0</v>
      </c>
      <c r="V22" s="106">
        <f>IF(W$8&lt;V$8,0,IF($D22&lt;V$8,V$12,IF($D22&lt;W$8,W$8-$D22,0)))</f>
        <v>0</v>
      </c>
      <c r="W22" s="141">
        <f>$L22*O$11*O22</f>
        <v>0</v>
      </c>
      <c r="X22" s="63">
        <f>($L22+SUM($W22:W22))*(P$11*P22)</f>
        <v>1353.8677883178098</v>
      </c>
      <c r="Y22" s="63">
        <f>($L22+SUM($W22:X22))*(Q$11*Q22)</f>
        <v>1763.5727196668058</v>
      </c>
      <c r="Z22" s="63">
        <f>($L22+SUM($W22:Y22))*(R$11*R22)</f>
        <v>1779.1308132485237</v>
      </c>
      <c r="AA22" s="63">
        <f>($L22+SUM($W22:Z22))*(S$11*S22)</f>
        <v>1755.8081990736578</v>
      </c>
      <c r="AB22" s="63">
        <f>($L22+SUM($W22:AA22))*(T$11*T22)</f>
        <v>1790.638409512816</v>
      </c>
      <c r="AC22" s="63">
        <f>($L22+SUM($W22:AB22))*(U$11*U22)</f>
        <v>0</v>
      </c>
      <c r="AD22" s="63">
        <f>($L22+SUM($W22:AC22))*(V$11*V22)</f>
        <v>0</v>
      </c>
      <c r="AE22" s="110">
        <f t="shared" si="14"/>
        <v>8443.017929819613</v>
      </c>
    </row>
    <row r="23" spans="1:31" ht="12.75">
      <c r="A23" s="16">
        <v>4</v>
      </c>
      <c r="B23" s="15">
        <f t="shared" si="15"/>
        <v>42461</v>
      </c>
      <c r="C23" s="361">
        <v>42494</v>
      </c>
      <c r="D23" s="361">
        <f t="shared" si="6"/>
        <v>42509</v>
      </c>
      <c r="E23" s="70" t="s">
        <v>146</v>
      </c>
      <c r="F23" s="3">
        <v>9</v>
      </c>
      <c r="G23" s="362">
        <v>2553</v>
      </c>
      <c r="H23" s="246">
        <f t="shared" si="7"/>
        <v>1566.72</v>
      </c>
      <c r="I23" s="246">
        <f t="shared" si="16"/>
        <v>1652.23</v>
      </c>
      <c r="J23" s="56">
        <f t="shared" si="8"/>
        <v>4218143.19</v>
      </c>
      <c r="K23" s="57">
        <f t="shared" si="9"/>
        <v>3999836.16</v>
      </c>
      <c r="L23" s="58">
        <f t="shared" si="10"/>
        <v>218307.03000000026</v>
      </c>
      <c r="M23" s="55">
        <f t="shared" si="11"/>
        <v>8662.138060812691</v>
      </c>
      <c r="N23" s="29">
        <f aca="true" t="shared" si="19" ref="N23:N33">SUM(L23:M23)</f>
        <v>226969.16806081295</v>
      </c>
      <c r="O23" s="16">
        <f t="shared" si="12"/>
        <v>0</v>
      </c>
      <c r="P23" s="16">
        <f t="shared" si="12"/>
        <v>43</v>
      </c>
      <c r="Q23" s="16">
        <f t="shared" si="12"/>
        <v>92</v>
      </c>
      <c r="R23" s="16">
        <f t="shared" si="12"/>
        <v>92</v>
      </c>
      <c r="S23" s="16">
        <f t="shared" si="13"/>
        <v>90</v>
      </c>
      <c r="T23" s="16">
        <f t="shared" si="13"/>
        <v>91</v>
      </c>
      <c r="U23" s="16">
        <f t="shared" si="13"/>
        <v>0</v>
      </c>
      <c r="V23" s="106">
        <f t="shared" si="17"/>
        <v>0</v>
      </c>
      <c r="W23" s="141">
        <f t="shared" si="18"/>
        <v>0</v>
      </c>
      <c r="X23" s="63">
        <f>($L23+SUM($W23:W23))*(P$11*P23)</f>
        <v>888.9980616191791</v>
      </c>
      <c r="Y23" s="63">
        <f>($L23+SUM($W23:X23))*(Q$11*Q23)</f>
        <v>1933.7293434477115</v>
      </c>
      <c r="Z23" s="63">
        <f>($L23+SUM($W23:Y23))*(R$11*R23)</f>
        <v>1950.7885447789488</v>
      </c>
      <c r="AA23" s="63">
        <f>($L23+SUM($W23:Z23))*(S$11*S23)</f>
        <v>1925.2156705260693</v>
      </c>
      <c r="AB23" s="63">
        <f>($L23+SUM($W23:AA23))*(T$11*T23)</f>
        <v>1963.406440440782</v>
      </c>
      <c r="AC23" s="63">
        <f>($L23+SUM($W23:AB23))*(U$11*U23)</f>
        <v>0</v>
      </c>
      <c r="AD23" s="63">
        <f>($L23+SUM($W23:AC23))*(V$11*V23)</f>
        <v>0</v>
      </c>
      <c r="AE23" s="110">
        <f t="shared" si="14"/>
        <v>8662.138060812691</v>
      </c>
    </row>
    <row r="24" spans="1:31" ht="12" customHeight="1">
      <c r="A24" s="3">
        <v>5</v>
      </c>
      <c r="B24" s="15">
        <f t="shared" si="15"/>
        <v>42491</v>
      </c>
      <c r="C24" s="361">
        <v>42524</v>
      </c>
      <c r="D24" s="361">
        <f t="shared" si="6"/>
        <v>42541</v>
      </c>
      <c r="E24" s="30" t="s">
        <v>146</v>
      </c>
      <c r="F24" s="3">
        <v>9</v>
      </c>
      <c r="G24" s="362">
        <v>3056</v>
      </c>
      <c r="H24" s="246">
        <f t="shared" si="7"/>
        <v>1566.72</v>
      </c>
      <c r="I24" s="246">
        <f t="shared" si="16"/>
        <v>1652.23</v>
      </c>
      <c r="J24" s="56">
        <f t="shared" si="8"/>
        <v>5049214.88</v>
      </c>
      <c r="K24" s="57">
        <f t="shared" si="9"/>
        <v>4787896.32</v>
      </c>
      <c r="L24" s="58">
        <f t="shared" si="10"/>
        <v>261318.5599999996</v>
      </c>
      <c r="M24" s="55">
        <f t="shared" si="11"/>
        <v>9548.769613636416</v>
      </c>
      <c r="N24" s="29">
        <f t="shared" si="19"/>
        <v>270867.329613636</v>
      </c>
      <c r="O24" s="16">
        <f t="shared" si="12"/>
        <v>0</v>
      </c>
      <c r="P24" s="16">
        <f t="shared" si="12"/>
        <v>11</v>
      </c>
      <c r="Q24" s="16">
        <f t="shared" si="12"/>
        <v>92</v>
      </c>
      <c r="R24" s="16">
        <f t="shared" si="12"/>
        <v>92</v>
      </c>
      <c r="S24" s="16">
        <f t="shared" si="13"/>
        <v>90</v>
      </c>
      <c r="T24" s="16">
        <f t="shared" si="13"/>
        <v>91</v>
      </c>
      <c r="U24" s="16">
        <f t="shared" si="13"/>
        <v>0</v>
      </c>
      <c r="V24" s="106">
        <f t="shared" si="17"/>
        <v>0</v>
      </c>
      <c r="W24" s="141">
        <f t="shared" si="18"/>
        <v>0</v>
      </c>
      <c r="X24" s="63">
        <f>($L24+SUM($W24:W24))*(P$11*P24)</f>
        <v>272.2247318648398</v>
      </c>
      <c r="Y24" s="63">
        <f>($L24+SUM($W24:X24))*(Q$11*Q24)</f>
        <v>2307.7324022920648</v>
      </c>
      <c r="Z24" s="63">
        <f>($L24+SUM($W24:Y24))*(R$11*R24)</f>
        <v>2328.091027868449</v>
      </c>
      <c r="AA24" s="63">
        <f>($L24+SUM($W24:Z24))*(S$11*S24)</f>
        <v>2297.5720978366535</v>
      </c>
      <c r="AB24" s="63">
        <f>($L24+SUM($W24:AA24))*(T$11*T24)</f>
        <v>2343.1493537744086</v>
      </c>
      <c r="AC24" s="63">
        <f>($L24+SUM($W24:AB24))*(U$11*U24)</f>
        <v>0</v>
      </c>
      <c r="AD24" s="63">
        <f>($L24+SUM($W24:AC24))*(V$11*V24)</f>
        <v>0</v>
      </c>
      <c r="AE24" s="110">
        <f t="shared" si="14"/>
        <v>9548.769613636416</v>
      </c>
    </row>
    <row r="25" spans="1:31" ht="12.75">
      <c r="A25" s="3">
        <v>6</v>
      </c>
      <c r="B25" s="15">
        <f t="shared" si="15"/>
        <v>42522</v>
      </c>
      <c r="C25" s="361">
        <v>42557</v>
      </c>
      <c r="D25" s="361">
        <f t="shared" si="6"/>
        <v>42572</v>
      </c>
      <c r="E25" s="30" t="s">
        <v>146</v>
      </c>
      <c r="F25" s="3">
        <v>9</v>
      </c>
      <c r="G25" s="362">
        <v>3974</v>
      </c>
      <c r="H25" s="246">
        <f t="shared" si="7"/>
        <v>1566.72</v>
      </c>
      <c r="I25" s="246">
        <f t="shared" si="16"/>
        <v>1652.23</v>
      </c>
      <c r="J25" s="56">
        <f t="shared" si="8"/>
        <v>6565962.0200000005</v>
      </c>
      <c r="K25" s="57">
        <f t="shared" si="9"/>
        <v>6226145.28</v>
      </c>
      <c r="L25" s="77">
        <f t="shared" si="10"/>
        <v>339816.7400000002</v>
      </c>
      <c r="M25" s="78">
        <f t="shared" si="11"/>
        <v>11381.68446109271</v>
      </c>
      <c r="N25" s="76">
        <f t="shared" si="19"/>
        <v>351198.4244610929</v>
      </c>
      <c r="O25" s="16">
        <f t="shared" si="12"/>
        <v>0</v>
      </c>
      <c r="P25" s="16">
        <f t="shared" si="12"/>
        <v>0</v>
      </c>
      <c r="Q25" s="16">
        <f t="shared" si="12"/>
        <v>72</v>
      </c>
      <c r="R25" s="16">
        <f t="shared" si="12"/>
        <v>92</v>
      </c>
      <c r="S25" s="16">
        <f t="shared" si="13"/>
        <v>90</v>
      </c>
      <c r="T25" s="16">
        <f t="shared" si="13"/>
        <v>91</v>
      </c>
      <c r="U25" s="16">
        <f t="shared" si="13"/>
        <v>0</v>
      </c>
      <c r="V25" s="106">
        <f t="shared" si="17"/>
        <v>0</v>
      </c>
      <c r="W25" s="141">
        <f t="shared" si="18"/>
        <v>0</v>
      </c>
      <c r="X25" s="63">
        <f>($L25+SUM($W25:W25))*(P$11*P25)</f>
        <v>0</v>
      </c>
      <c r="Y25" s="63">
        <f>($L25+SUM($W25:X25))*(Q$11*Q25)</f>
        <v>2346.132013150687</v>
      </c>
      <c r="Z25" s="63">
        <f>($L25+SUM($W25:Y25))*(R$11*R25)</f>
        <v>3018.532733924236</v>
      </c>
      <c r="AA25" s="63">
        <f>($L25+SUM($W25:Z25))*(S$11*S25)</f>
        <v>2978.962808091197</v>
      </c>
      <c r="AB25" s="63">
        <f>($L25+SUM($W25:AA25))*(T$11*T25)</f>
        <v>3038.0569059265886</v>
      </c>
      <c r="AC25" s="63">
        <f>($L25+SUM($W25:AB25))*(U$11*U25)</f>
        <v>0</v>
      </c>
      <c r="AD25" s="63">
        <f>($L25+SUM($W25:AC25))*(V$11*V25)</f>
        <v>0</v>
      </c>
      <c r="AE25" s="110">
        <f t="shared" si="14"/>
        <v>11381.68446109271</v>
      </c>
    </row>
    <row r="26" spans="1:31" ht="12.75">
      <c r="A26" s="16">
        <v>7</v>
      </c>
      <c r="B26" s="15">
        <f t="shared" si="15"/>
        <v>42552</v>
      </c>
      <c r="C26" s="361">
        <v>42585</v>
      </c>
      <c r="D26" s="361">
        <f t="shared" si="6"/>
        <v>42600</v>
      </c>
      <c r="E26" s="30" t="s">
        <v>146</v>
      </c>
      <c r="F26" s="3">
        <v>9</v>
      </c>
      <c r="G26" s="362">
        <v>4029</v>
      </c>
      <c r="H26" s="246">
        <f aca="true" t="shared" si="20" ref="H26:H31">$K$8</f>
        <v>1623.7</v>
      </c>
      <c r="I26" s="246">
        <f t="shared" si="16"/>
        <v>1652.23</v>
      </c>
      <c r="J26" s="56">
        <f t="shared" si="8"/>
        <v>6656834.67</v>
      </c>
      <c r="K26" s="74">
        <f t="shared" si="9"/>
        <v>6541887.3</v>
      </c>
      <c r="L26" s="77">
        <f t="shared" si="10"/>
        <v>114947.37000000011</v>
      </c>
      <c r="M26" s="75">
        <f aca="true" t="shared" si="21" ref="M26:M37">+AE26</f>
        <v>3533.2249747382502</v>
      </c>
      <c r="N26" s="76">
        <f t="shared" si="19"/>
        <v>118480.59497473836</v>
      </c>
      <c r="O26" s="16">
        <f t="shared" si="12"/>
        <v>0</v>
      </c>
      <c r="P26" s="16">
        <f t="shared" si="12"/>
        <v>0</v>
      </c>
      <c r="Q26" s="16">
        <f t="shared" si="12"/>
        <v>44</v>
      </c>
      <c r="R26" s="16">
        <f t="shared" si="12"/>
        <v>92</v>
      </c>
      <c r="S26" s="16">
        <f aca="true" t="shared" si="22" ref="S26:U31">IF($D26&lt;S$8,S$12,IF($D26&lt;T$8,T$8-$D26,0))</f>
        <v>90</v>
      </c>
      <c r="T26" s="16">
        <f t="shared" si="22"/>
        <v>91</v>
      </c>
      <c r="U26" s="16">
        <f t="shared" si="22"/>
        <v>0</v>
      </c>
      <c r="V26" s="106">
        <f t="shared" si="17"/>
        <v>0</v>
      </c>
      <c r="W26" s="141">
        <f t="shared" si="18"/>
        <v>0</v>
      </c>
      <c r="X26" s="63">
        <f>($L26+SUM($W26:W26))*(P$11*P26)</f>
        <v>0</v>
      </c>
      <c r="Y26" s="63">
        <f>($L26+SUM($W26:X26))*(Q$11*Q26)</f>
        <v>484.98342410958963</v>
      </c>
      <c r="Z26" s="63">
        <f>($L26+SUM($W26:Y26))*(R$11*R26)</f>
        <v>1018.3347343168036</v>
      </c>
      <c r="AA26" s="63">
        <f>($L26+SUM($W26:Z26))*(S$11*S26)</f>
        <v>1004.9853909562836</v>
      </c>
      <c r="AB26" s="63">
        <f>($L26+SUM($W26:AA26))*(T$11*T26)</f>
        <v>1024.921425355573</v>
      </c>
      <c r="AC26" s="63">
        <f>($L26+SUM($W26:AB26))*(U$11*U26)</f>
        <v>0</v>
      </c>
      <c r="AD26" s="63">
        <f>($L26+SUM($W26:AC26))*(V$11*V26)</f>
        <v>0</v>
      </c>
      <c r="AE26" s="110">
        <f aca="true" t="shared" si="23" ref="AE26:AE31">SUM(W26:AD26)</f>
        <v>3533.2249747382502</v>
      </c>
    </row>
    <row r="27" spans="1:31" ht="12.75">
      <c r="A27" s="3">
        <v>8</v>
      </c>
      <c r="B27" s="15">
        <f t="shared" si="15"/>
        <v>42583</v>
      </c>
      <c r="C27" s="361">
        <v>42619</v>
      </c>
      <c r="D27" s="361">
        <f t="shared" si="6"/>
        <v>42634</v>
      </c>
      <c r="E27" s="30" t="s">
        <v>146</v>
      </c>
      <c r="F27" s="3">
        <v>9</v>
      </c>
      <c r="G27" s="362">
        <v>4077</v>
      </c>
      <c r="H27" s="246">
        <f t="shared" si="20"/>
        <v>1623.7</v>
      </c>
      <c r="I27" s="246">
        <f t="shared" si="16"/>
        <v>1652.23</v>
      </c>
      <c r="J27" s="56">
        <f t="shared" si="8"/>
        <v>6736141.71</v>
      </c>
      <c r="K27" s="74">
        <f t="shared" si="9"/>
        <v>6619824.9</v>
      </c>
      <c r="L27" s="77">
        <f t="shared" si="10"/>
        <v>116316.80999999959</v>
      </c>
      <c r="M27" s="75">
        <f t="shared" si="21"/>
        <v>3186.0795786567496</v>
      </c>
      <c r="N27" s="76">
        <f t="shared" si="19"/>
        <v>119502.88957865634</v>
      </c>
      <c r="O27" s="16">
        <f t="shared" si="12"/>
        <v>0</v>
      </c>
      <c r="P27" s="16">
        <f t="shared" si="12"/>
        <v>0</v>
      </c>
      <c r="Q27" s="16">
        <f t="shared" si="12"/>
        <v>10</v>
      </c>
      <c r="R27" s="16">
        <f t="shared" si="12"/>
        <v>92</v>
      </c>
      <c r="S27" s="16">
        <f t="shared" si="22"/>
        <v>90</v>
      </c>
      <c r="T27" s="16">
        <f t="shared" si="22"/>
        <v>91</v>
      </c>
      <c r="U27" s="16">
        <f t="shared" si="22"/>
        <v>0</v>
      </c>
      <c r="V27" s="106">
        <f t="shared" si="17"/>
        <v>0</v>
      </c>
      <c r="W27" s="141">
        <f t="shared" si="18"/>
        <v>0</v>
      </c>
      <c r="X27" s="63">
        <f>($L27+SUM($W27:W27))*(P$11*P27)</f>
        <v>0</v>
      </c>
      <c r="Y27" s="63">
        <f>($L27+SUM($W27:X27))*(Q$11*Q27)</f>
        <v>111.53666712328729</v>
      </c>
      <c r="Z27" s="63">
        <f>($L27+SUM($W27:Y27))*(R$11*R27)</f>
        <v>1027.1213048442075</v>
      </c>
      <c r="AA27" s="63">
        <f>($L27+SUM($W27:Z27))*(S$11*S27)</f>
        <v>1013.6567783882091</v>
      </c>
      <c r="AB27" s="63">
        <f>($L27+SUM($W27:AA27))*(T$11*T27)</f>
        <v>1033.7648283010456</v>
      </c>
      <c r="AC27" s="63">
        <f>($L27+SUM($W27:AB27))*(U$11*U27)</f>
        <v>0</v>
      </c>
      <c r="AD27" s="63">
        <f>($L27+SUM($W27:AC27))*(V$11*V27)</f>
        <v>0</v>
      </c>
      <c r="AE27" s="110">
        <f t="shared" si="23"/>
        <v>3186.0795786567496</v>
      </c>
    </row>
    <row r="28" spans="1:31" ht="12.75">
      <c r="A28" s="3">
        <v>9</v>
      </c>
      <c r="B28" s="15">
        <f t="shared" si="15"/>
        <v>42614</v>
      </c>
      <c r="C28" s="361">
        <v>42648</v>
      </c>
      <c r="D28" s="361">
        <f t="shared" si="6"/>
        <v>42663</v>
      </c>
      <c r="E28" s="30" t="s">
        <v>146</v>
      </c>
      <c r="F28" s="3">
        <v>9</v>
      </c>
      <c r="G28" s="362">
        <v>3868</v>
      </c>
      <c r="H28" s="246">
        <f t="shared" si="20"/>
        <v>1623.7</v>
      </c>
      <c r="I28" s="246">
        <f t="shared" si="16"/>
        <v>1652.23</v>
      </c>
      <c r="J28" s="56">
        <f t="shared" si="8"/>
        <v>6390825.64</v>
      </c>
      <c r="K28" s="74">
        <f t="shared" si="9"/>
        <v>6280471.600000001</v>
      </c>
      <c r="L28" s="77">
        <f t="shared" si="10"/>
        <v>110354.0399999991</v>
      </c>
      <c r="M28" s="75">
        <f t="shared" si="21"/>
        <v>2709.5769824369136</v>
      </c>
      <c r="N28" s="76">
        <f t="shared" si="19"/>
        <v>113063.61698243603</v>
      </c>
      <c r="O28" s="16">
        <f t="shared" si="12"/>
        <v>0</v>
      </c>
      <c r="P28" s="16">
        <f t="shared" si="12"/>
        <v>0</v>
      </c>
      <c r="Q28" s="16">
        <f t="shared" si="12"/>
        <v>0</v>
      </c>
      <c r="R28" s="16">
        <f t="shared" si="12"/>
        <v>73</v>
      </c>
      <c r="S28" s="16">
        <f t="shared" si="22"/>
        <v>90</v>
      </c>
      <c r="T28" s="16">
        <f t="shared" si="22"/>
        <v>91</v>
      </c>
      <c r="U28" s="16">
        <f t="shared" si="22"/>
        <v>0</v>
      </c>
      <c r="V28" s="106">
        <f t="shared" si="17"/>
        <v>0</v>
      </c>
      <c r="W28" s="141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772.4782799999939</v>
      </c>
      <c r="AA28" s="63">
        <f>($L28+SUM($W28:Z28))*(S$11*S28)</f>
        <v>959.0370755671156</v>
      </c>
      <c r="AB28" s="63">
        <f>($L28+SUM($W28:AA28))*(T$11*T28)</f>
        <v>978.0616268698038</v>
      </c>
      <c r="AC28" s="63">
        <f>($L28+SUM($W28:AB28))*(U$11*U28)</f>
        <v>0</v>
      </c>
      <c r="AD28" s="63">
        <f>($L28+SUM($W28:AC28))*(V$11*V28)</f>
        <v>0</v>
      </c>
      <c r="AE28" s="110">
        <f t="shared" si="23"/>
        <v>2709.5769824369136</v>
      </c>
    </row>
    <row r="29" spans="1:31" ht="12.75">
      <c r="A29" s="16">
        <v>10</v>
      </c>
      <c r="B29" s="15">
        <f t="shared" si="15"/>
        <v>42644</v>
      </c>
      <c r="C29" s="361">
        <v>42677</v>
      </c>
      <c r="D29" s="361">
        <f t="shared" si="6"/>
        <v>42692</v>
      </c>
      <c r="E29" s="30" t="s">
        <v>146</v>
      </c>
      <c r="F29" s="3">
        <v>9</v>
      </c>
      <c r="G29" s="362">
        <v>3142</v>
      </c>
      <c r="H29" s="246">
        <f t="shared" si="20"/>
        <v>1623.7</v>
      </c>
      <c r="I29" s="246">
        <f t="shared" si="16"/>
        <v>1652.23</v>
      </c>
      <c r="J29" s="56">
        <f t="shared" si="8"/>
        <v>5191306.66</v>
      </c>
      <c r="K29" s="74">
        <f t="shared" si="9"/>
        <v>5101665.4</v>
      </c>
      <c r="L29" s="77">
        <f t="shared" si="10"/>
        <v>89641.25999999978</v>
      </c>
      <c r="M29" s="75">
        <f t="shared" si="21"/>
        <v>1947.3842803006212</v>
      </c>
      <c r="N29" s="76">
        <f t="shared" si="19"/>
        <v>91588.6442803004</v>
      </c>
      <c r="O29" s="16">
        <f t="shared" si="12"/>
        <v>0</v>
      </c>
      <c r="P29" s="16">
        <f t="shared" si="12"/>
        <v>0</v>
      </c>
      <c r="Q29" s="16">
        <f t="shared" si="12"/>
        <v>0</v>
      </c>
      <c r="R29" s="16">
        <f t="shared" si="12"/>
        <v>44</v>
      </c>
      <c r="S29" s="16">
        <f t="shared" si="22"/>
        <v>90</v>
      </c>
      <c r="T29" s="16">
        <f t="shared" si="22"/>
        <v>91</v>
      </c>
      <c r="U29" s="16">
        <f t="shared" si="22"/>
        <v>0</v>
      </c>
      <c r="V29" s="106">
        <f t="shared" si="17"/>
        <v>0</v>
      </c>
      <c r="W29" s="141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378.2124394520539</v>
      </c>
      <c r="AA29" s="63">
        <f>($L29+SUM($W29:Z29))*(S$11*S29)</f>
        <v>776.88037858705</v>
      </c>
      <c r="AB29" s="63">
        <f>($L29+SUM($W29:AA29))*(T$11*T29)</f>
        <v>792.2914622615174</v>
      </c>
      <c r="AC29" s="63">
        <f>($L29+SUM($W29:AB29))*(U$11*U29)</f>
        <v>0</v>
      </c>
      <c r="AD29" s="63">
        <f>($L29+SUM($W29:AC29))*(V$11*V29)</f>
        <v>0</v>
      </c>
      <c r="AE29" s="110">
        <f t="shared" si="23"/>
        <v>1947.3842803006212</v>
      </c>
    </row>
    <row r="30" spans="1:31" ht="12.75">
      <c r="A30" s="3">
        <v>11</v>
      </c>
      <c r="B30" s="15">
        <f t="shared" si="15"/>
        <v>42675</v>
      </c>
      <c r="C30" s="361">
        <v>42709</v>
      </c>
      <c r="D30" s="361">
        <f t="shared" si="6"/>
        <v>42724</v>
      </c>
      <c r="E30" s="30" t="s">
        <v>146</v>
      </c>
      <c r="F30" s="3">
        <v>9</v>
      </c>
      <c r="G30" s="362">
        <v>2732</v>
      </c>
      <c r="H30" s="246">
        <f t="shared" si="20"/>
        <v>1623.7</v>
      </c>
      <c r="I30" s="246">
        <f t="shared" si="16"/>
        <v>1652.23</v>
      </c>
      <c r="J30" s="56">
        <f t="shared" si="8"/>
        <v>4513892.36</v>
      </c>
      <c r="K30" s="74">
        <f t="shared" si="9"/>
        <v>4435948.4</v>
      </c>
      <c r="L30" s="77">
        <f t="shared" si="10"/>
        <v>77943.95999999996</v>
      </c>
      <c r="M30" s="75">
        <f t="shared" si="21"/>
        <v>1449.9302440441168</v>
      </c>
      <c r="N30" s="76">
        <f t="shared" si="19"/>
        <v>79393.89024404407</v>
      </c>
      <c r="O30" s="16">
        <f t="shared" si="12"/>
        <v>0</v>
      </c>
      <c r="P30" s="16">
        <f t="shared" si="12"/>
        <v>0</v>
      </c>
      <c r="Q30" s="16">
        <f t="shared" si="12"/>
        <v>0</v>
      </c>
      <c r="R30" s="16">
        <f t="shared" si="12"/>
        <v>12</v>
      </c>
      <c r="S30" s="16">
        <f t="shared" si="22"/>
        <v>90</v>
      </c>
      <c r="T30" s="16">
        <f t="shared" si="22"/>
        <v>91</v>
      </c>
      <c r="U30" s="16">
        <f t="shared" si="22"/>
        <v>0</v>
      </c>
      <c r="V30" s="106">
        <f t="shared" si="17"/>
        <v>0</v>
      </c>
      <c r="W30" s="141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89.68894027397256</v>
      </c>
      <c r="AA30" s="63">
        <f>($L30+SUM($W30:Z30))*(S$11*S30)</f>
        <v>673.4410798955149</v>
      </c>
      <c r="AB30" s="63">
        <f>($L30+SUM($W30:AA30))*(T$11*T30)</f>
        <v>686.8002238746293</v>
      </c>
      <c r="AC30" s="63">
        <f>($L30+SUM($W30:AB30))*(U$11*U30)</f>
        <v>0</v>
      </c>
      <c r="AD30" s="63">
        <f>($L30+SUM($W30:AC30))*(V$11*V30)</f>
        <v>0</v>
      </c>
      <c r="AE30" s="110">
        <f t="shared" si="23"/>
        <v>1449.9302440441168</v>
      </c>
    </row>
    <row r="31" spans="1:31" ht="12.75">
      <c r="A31" s="3">
        <v>12</v>
      </c>
      <c r="B31" s="15">
        <f t="shared" si="15"/>
        <v>42705</v>
      </c>
      <c r="C31" s="383">
        <v>42740</v>
      </c>
      <c r="D31" s="361">
        <f t="shared" si="6"/>
        <v>42755</v>
      </c>
      <c r="E31" s="30" t="s">
        <v>146</v>
      </c>
      <c r="F31" s="3">
        <v>9</v>
      </c>
      <c r="G31" s="363">
        <v>2954</v>
      </c>
      <c r="H31" s="247">
        <f t="shared" si="20"/>
        <v>1623.7</v>
      </c>
      <c r="I31" s="247">
        <f t="shared" si="16"/>
        <v>1652.23</v>
      </c>
      <c r="J31" s="85">
        <f t="shared" si="8"/>
        <v>4880687.42</v>
      </c>
      <c r="K31" s="86">
        <f t="shared" si="9"/>
        <v>4796409.8</v>
      </c>
      <c r="L31" s="87">
        <f t="shared" si="10"/>
        <v>84277.62000000011</v>
      </c>
      <c r="M31" s="88">
        <f t="shared" si="21"/>
        <v>1314.1961543025313</v>
      </c>
      <c r="N31" s="89">
        <f t="shared" si="19"/>
        <v>85591.81615430264</v>
      </c>
      <c r="O31" s="16">
        <f t="shared" si="12"/>
        <v>0</v>
      </c>
      <c r="P31" s="16">
        <f t="shared" si="12"/>
        <v>0</v>
      </c>
      <c r="Q31" s="16">
        <f t="shared" si="12"/>
        <v>0</v>
      </c>
      <c r="R31" s="16">
        <f t="shared" si="12"/>
        <v>0</v>
      </c>
      <c r="S31" s="16">
        <f t="shared" si="22"/>
        <v>71</v>
      </c>
      <c r="T31" s="16">
        <f t="shared" si="22"/>
        <v>91</v>
      </c>
      <c r="U31" s="16">
        <f t="shared" si="22"/>
        <v>0</v>
      </c>
      <c r="V31" s="106">
        <f t="shared" si="17"/>
        <v>0</v>
      </c>
      <c r="W31" s="141">
        <f t="shared" si="18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573.780508767124</v>
      </c>
      <c r="AB31" s="63">
        <f>($L31+SUM($W31:AA31))*(T$11*T31)</f>
        <v>740.4156455354073</v>
      </c>
      <c r="AC31" s="63">
        <f>($L31+SUM($W31:AB31))*(U$11*U31)</f>
        <v>0</v>
      </c>
      <c r="AD31" s="63">
        <f>($L31+SUM($W31:AC31))*(V$11*V31)</f>
        <v>0</v>
      </c>
      <c r="AE31" s="110">
        <f t="shared" si="23"/>
        <v>1314.1961543025313</v>
      </c>
    </row>
    <row r="32" spans="1:31" ht="12.75">
      <c r="A32" s="16">
        <v>1</v>
      </c>
      <c r="B32" s="153">
        <f t="shared" si="15"/>
        <v>42370</v>
      </c>
      <c r="C32" s="242">
        <f aca="true" t="shared" si="24" ref="C32:D43">+C20</f>
        <v>42403</v>
      </c>
      <c r="D32" s="242">
        <f t="shared" si="24"/>
        <v>42418</v>
      </c>
      <c r="E32" s="154" t="s">
        <v>147</v>
      </c>
      <c r="F32" s="155">
        <v>9</v>
      </c>
      <c r="G32" s="362">
        <v>2839</v>
      </c>
      <c r="H32" s="246">
        <f aca="true" t="shared" si="25" ref="H32:H37">$K$3</f>
        <v>1566.72</v>
      </c>
      <c r="I32" s="246">
        <f t="shared" si="16"/>
        <v>1652.23</v>
      </c>
      <c r="J32" s="56">
        <f t="shared" si="8"/>
        <v>4690680.97</v>
      </c>
      <c r="K32" s="57">
        <f t="shared" si="9"/>
        <v>4447918.08</v>
      </c>
      <c r="L32" s="58">
        <f t="shared" si="10"/>
        <v>242762.88999999966</v>
      </c>
      <c r="M32" s="55">
        <f t="shared" si="21"/>
        <v>11745.926966247409</v>
      </c>
      <c r="N32" s="29">
        <f t="shared" si="19"/>
        <v>254508.81696624708</v>
      </c>
      <c r="O32" s="155">
        <f aca="true" t="shared" si="26" ref="O32:O79">IF($D32&lt;O$8,O$12,IF($D32&lt;P$8,P$8-$D32,0))</f>
        <v>43</v>
      </c>
      <c r="P32" s="155">
        <f aca="true" t="shared" si="27" ref="P32:P79">IF($D32&lt;P$8,P$12,IF($D32&lt;Q$8,Q$8-$D32,0))</f>
        <v>91</v>
      </c>
      <c r="Q32" s="155">
        <f aca="true" t="shared" si="28" ref="Q32:Q79">IF($D32&lt;Q$8,Q$12,IF($D32&lt;R$8,R$8-$D32,0))</f>
        <v>92</v>
      </c>
      <c r="R32" s="155">
        <f aca="true" t="shared" si="29" ref="R32:U59">IF($D32&lt;R$8,R$12,IF($D32&lt;S$8,S$8-$D32,0))</f>
        <v>92</v>
      </c>
      <c r="S32" s="155">
        <f t="shared" si="29"/>
        <v>90</v>
      </c>
      <c r="T32" s="155">
        <f t="shared" si="29"/>
        <v>91</v>
      </c>
      <c r="U32" s="155">
        <f t="shared" si="29"/>
        <v>0</v>
      </c>
      <c r="V32" s="157">
        <f>IF(W$8&lt;V$8,0,IF($D32&lt;V$8,V$12,IF($D32&lt;W$8,W$8-$D32,0)))</f>
        <v>0</v>
      </c>
      <c r="W32" s="158">
        <f>$L32*O$11*O32</f>
        <v>929.4825719863001</v>
      </c>
      <c r="X32" s="159">
        <f>($L32+SUM($W32:W32))*(P$11*P32)</f>
        <v>2100.138641324256</v>
      </c>
      <c r="Y32" s="159">
        <f>($L32+SUM($W32:X32))*(Q$11*Q32)</f>
        <v>2168.3613317996137</v>
      </c>
      <c r="Z32" s="159">
        <f>($L32+SUM($W32:Y32))*(R$11*R32)</f>
        <v>2187.4904372472706</v>
      </c>
      <c r="AA32" s="159">
        <f>($L32+SUM($W32:Z32))*(S$11*S32)</f>
        <v>2158.8146394367805</v>
      </c>
      <c r="AB32" s="159">
        <f>($L32+SUM($W32:AA32))*(T$11*T32)</f>
        <v>2201.6393444531877</v>
      </c>
      <c r="AC32" s="159">
        <f>($L32+SUM($W32:AB32))*(U$11*U32)</f>
        <v>0</v>
      </c>
      <c r="AD32" s="159">
        <f>($L32+SUM($W32:AC32))*(V$11*V32)</f>
        <v>0</v>
      </c>
      <c r="AE32" s="109">
        <f aca="true" t="shared" si="30" ref="AE32:AE37">SUM(W32:AD32)</f>
        <v>11745.926966247409</v>
      </c>
    </row>
    <row r="33" spans="1:31" ht="12.75">
      <c r="A33" s="3">
        <v>2</v>
      </c>
      <c r="B33" s="15">
        <f t="shared" si="15"/>
        <v>42401</v>
      </c>
      <c r="C33" s="243">
        <f t="shared" si="24"/>
        <v>42432</v>
      </c>
      <c r="D33" s="243">
        <f t="shared" si="24"/>
        <v>42447</v>
      </c>
      <c r="E33" s="70" t="s">
        <v>147</v>
      </c>
      <c r="F33" s="3">
        <v>9</v>
      </c>
      <c r="G33" s="362">
        <v>2753</v>
      </c>
      <c r="H33" s="246">
        <f t="shared" si="25"/>
        <v>1566.72</v>
      </c>
      <c r="I33" s="246">
        <f t="shared" si="16"/>
        <v>1652.23</v>
      </c>
      <c r="J33" s="56">
        <f t="shared" si="8"/>
        <v>4548589.19</v>
      </c>
      <c r="K33" s="57">
        <f t="shared" si="9"/>
        <v>4313180.16</v>
      </c>
      <c r="L33" s="58">
        <f t="shared" si="10"/>
        <v>235409.03000000026</v>
      </c>
      <c r="M33" s="55">
        <f t="shared" si="21"/>
        <v>10755.26313600222</v>
      </c>
      <c r="N33" s="29">
        <f t="shared" si="19"/>
        <v>246164.2931360025</v>
      </c>
      <c r="O33" s="16">
        <f t="shared" si="26"/>
        <v>14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90</v>
      </c>
      <c r="T33" s="16">
        <f t="shared" si="29"/>
        <v>91</v>
      </c>
      <c r="U33" s="16">
        <f t="shared" si="29"/>
        <v>0</v>
      </c>
      <c r="V33" s="106">
        <f t="shared" si="17"/>
        <v>0</v>
      </c>
      <c r="W33" s="141">
        <f aca="true" t="shared" si="31" ref="W33:W43">$L33*O$11*O33</f>
        <v>293.45509219178115</v>
      </c>
      <c r="X33" s="63">
        <f>($L33+SUM($W33:W33))*(P$11*P33)</f>
        <v>2031.2818639904008</v>
      </c>
      <c r="Y33" s="63">
        <f>($L33+SUM($W33:X33))*(Q$11*Q33)</f>
        <v>2097.267752325774</v>
      </c>
      <c r="Z33" s="63">
        <f>($L33+SUM($W33:Y33))*(R$11*R33)</f>
        <v>2115.7696760586205</v>
      </c>
      <c r="AA33" s="63">
        <f>($L33+SUM($W33:Z33))*(S$11*S33)</f>
        <v>2088.034065236673</v>
      </c>
      <c r="AB33" s="63">
        <f>($L33+SUM($W33:AA33))*(T$11*T33)</f>
        <v>2129.45468619897</v>
      </c>
      <c r="AC33" s="63">
        <f>($L33+SUM($W33:AB33))*(U$11*U33)</f>
        <v>0</v>
      </c>
      <c r="AD33" s="63">
        <f>($L33+SUM($W33:AC33))*(V$11*V33)</f>
        <v>0</v>
      </c>
      <c r="AE33" s="110">
        <f t="shared" si="30"/>
        <v>10755.26313600222</v>
      </c>
    </row>
    <row r="34" spans="1:31" ht="12.75">
      <c r="A34" s="3">
        <v>3</v>
      </c>
      <c r="B34" s="15">
        <f t="shared" si="15"/>
        <v>42430</v>
      </c>
      <c r="C34" s="243">
        <f t="shared" si="24"/>
        <v>42465</v>
      </c>
      <c r="D34" s="243">
        <f t="shared" si="24"/>
        <v>42480</v>
      </c>
      <c r="E34" s="70" t="s">
        <v>147</v>
      </c>
      <c r="F34" s="3">
        <v>9</v>
      </c>
      <c r="G34" s="362">
        <v>2493</v>
      </c>
      <c r="H34" s="246">
        <f t="shared" si="25"/>
        <v>1566.72</v>
      </c>
      <c r="I34" s="246">
        <f t="shared" si="16"/>
        <v>1652.23</v>
      </c>
      <c r="J34" s="56">
        <f t="shared" si="8"/>
        <v>4119009.39</v>
      </c>
      <c r="K34" s="57">
        <f aca="true" t="shared" si="32" ref="K34:K81">+$G34*H34</f>
        <v>3905832.96</v>
      </c>
      <c r="L34" s="58">
        <f t="shared" si="10"/>
        <v>213176.43000000017</v>
      </c>
      <c r="M34" s="55">
        <f t="shared" si="21"/>
        <v>9064.79056806214</v>
      </c>
      <c r="N34" s="29">
        <f>SUM(L34:M34)</f>
        <v>222241.2205680623</v>
      </c>
      <c r="O34" s="16">
        <f aca="true" t="shared" si="33" ref="O34:U34">IF($D34&lt;O$8,O$12,IF($D34&lt;P$8,P$8-$D34,0))</f>
        <v>0</v>
      </c>
      <c r="P34" s="16">
        <f t="shared" si="33"/>
        <v>72</v>
      </c>
      <c r="Q34" s="16">
        <f t="shared" si="33"/>
        <v>92</v>
      </c>
      <c r="R34" s="16">
        <f t="shared" si="33"/>
        <v>92</v>
      </c>
      <c r="S34" s="16">
        <f t="shared" si="33"/>
        <v>90</v>
      </c>
      <c r="T34" s="16">
        <f t="shared" si="33"/>
        <v>91</v>
      </c>
      <c r="U34" s="16">
        <f t="shared" si="33"/>
        <v>0</v>
      </c>
      <c r="V34" s="106">
        <f>IF(W$8&lt;V$8,0,IF($D34&lt;V$8,V$12,IF($D34&lt;W$8,W$8-$D34,0)))</f>
        <v>0</v>
      </c>
      <c r="W34" s="141">
        <f>$L34*O$11*O34</f>
        <v>0</v>
      </c>
      <c r="X34" s="63">
        <f>($L34+SUM($W34:W34))*(P$11*P34)</f>
        <v>1453.5712300931518</v>
      </c>
      <c r="Y34" s="63">
        <f>($L34+SUM($W34:X34))*(Q$11*Q34)</f>
        <v>1893.4482300298648</v>
      </c>
      <c r="Z34" s="63">
        <f>($L34+SUM($W34:Y34))*(R$11*R34)</f>
        <v>1910.1520746893061</v>
      </c>
      <c r="AA34" s="63">
        <f>($L34+SUM($W34:Z34))*(S$11*S34)</f>
        <v>1885.111903656601</v>
      </c>
      <c r="AB34" s="63">
        <f>($L34+SUM($W34:AA34))*(T$11*T34)</f>
        <v>1922.5071295932166</v>
      </c>
      <c r="AC34" s="63">
        <f>($L34+SUM($W34:AB34))*(U$11*U34)</f>
        <v>0</v>
      </c>
      <c r="AD34" s="63">
        <f>($L34+SUM($W34:AC34))*(V$11*V34)</f>
        <v>0</v>
      </c>
      <c r="AE34" s="110">
        <f t="shared" si="30"/>
        <v>9064.79056806214</v>
      </c>
    </row>
    <row r="35" spans="1:31" ht="12.75">
      <c r="A35" s="16">
        <v>4</v>
      </c>
      <c r="B35" s="15">
        <f t="shared" si="15"/>
        <v>42461</v>
      </c>
      <c r="C35" s="243">
        <f t="shared" si="24"/>
        <v>42494</v>
      </c>
      <c r="D35" s="243">
        <f t="shared" si="24"/>
        <v>42509</v>
      </c>
      <c r="E35" s="70" t="s">
        <v>147</v>
      </c>
      <c r="F35" s="3">
        <v>9</v>
      </c>
      <c r="G35" s="362">
        <v>2487</v>
      </c>
      <c r="H35" s="246">
        <f t="shared" si="25"/>
        <v>1566.72</v>
      </c>
      <c r="I35" s="246">
        <f t="shared" si="16"/>
        <v>1652.23</v>
      </c>
      <c r="J35" s="56">
        <f t="shared" si="8"/>
        <v>4109096.0100000002</v>
      </c>
      <c r="K35" s="57">
        <f t="shared" si="32"/>
        <v>3896432.64</v>
      </c>
      <c r="L35" s="58">
        <f aca="true" t="shared" si="34" ref="L35:L57">+J35-K35</f>
        <v>212663.3700000001</v>
      </c>
      <c r="M35" s="55">
        <f t="shared" si="21"/>
        <v>8438.204996960887</v>
      </c>
      <c r="N35" s="29">
        <f aca="true" t="shared" si="35" ref="N35:N57">SUM(L35:M35)</f>
        <v>221101.574996961</v>
      </c>
      <c r="O35" s="16">
        <f t="shared" si="26"/>
        <v>0</v>
      </c>
      <c r="P35" s="16">
        <f t="shared" si="27"/>
        <v>43</v>
      </c>
      <c r="Q35" s="16">
        <f t="shared" si="28"/>
        <v>92</v>
      </c>
      <c r="R35" s="16">
        <f t="shared" si="29"/>
        <v>92</v>
      </c>
      <c r="S35" s="16">
        <f t="shared" si="29"/>
        <v>90</v>
      </c>
      <c r="T35" s="16">
        <f t="shared" si="29"/>
        <v>91</v>
      </c>
      <c r="U35" s="16">
        <f t="shared" si="29"/>
        <v>0</v>
      </c>
      <c r="V35" s="106">
        <f t="shared" si="17"/>
        <v>0</v>
      </c>
      <c r="W35" s="141">
        <f t="shared" si="31"/>
        <v>0</v>
      </c>
      <c r="X35" s="63">
        <f>($L35+SUM($W35:W35))*(P$11*P35)</f>
        <v>866.0157380520552</v>
      </c>
      <c r="Y35" s="63">
        <f>($L35+SUM($W35:X35))*(Q$11*Q35)</f>
        <v>1883.7386906206248</v>
      </c>
      <c r="Z35" s="63">
        <f>($L35+SUM($W35:Y35))*(R$11*R35)</f>
        <v>1900.3568785214425</v>
      </c>
      <c r="AA35" s="63">
        <f>($L35+SUM($W35:Z35))*(S$11*S35)</f>
        <v>1875.4451126511283</v>
      </c>
      <c r="AB35" s="63">
        <f>($L35+SUM($W35:AA35))*(T$11*T35)</f>
        <v>1912.648577115637</v>
      </c>
      <c r="AC35" s="63">
        <f>($L35+SUM($W35:AB35))*(U$11*U35)</f>
        <v>0</v>
      </c>
      <c r="AD35" s="63">
        <f>($L35+SUM($W35:AC35))*(V$11*V35)</f>
        <v>0</v>
      </c>
      <c r="AE35" s="110">
        <f t="shared" si="30"/>
        <v>8438.204996960887</v>
      </c>
    </row>
    <row r="36" spans="1:31" ht="12.75">
      <c r="A36" s="3">
        <v>5</v>
      </c>
      <c r="B36" s="15">
        <f t="shared" si="15"/>
        <v>42491</v>
      </c>
      <c r="C36" s="243">
        <f t="shared" si="24"/>
        <v>42524</v>
      </c>
      <c r="D36" s="243">
        <f t="shared" si="24"/>
        <v>42541</v>
      </c>
      <c r="E36" s="30" t="s">
        <v>147</v>
      </c>
      <c r="F36" s="3">
        <v>9</v>
      </c>
      <c r="G36" s="362">
        <v>2900</v>
      </c>
      <c r="H36" s="246">
        <f t="shared" si="25"/>
        <v>1566.72</v>
      </c>
      <c r="I36" s="246">
        <f t="shared" si="16"/>
        <v>1652.23</v>
      </c>
      <c r="J36" s="56">
        <f t="shared" si="8"/>
        <v>4791467</v>
      </c>
      <c r="K36" s="57">
        <f t="shared" si="32"/>
        <v>4543488</v>
      </c>
      <c r="L36" s="58">
        <f t="shared" si="34"/>
        <v>247979</v>
      </c>
      <c r="M36" s="55">
        <f t="shared" si="21"/>
        <v>9061.332421317293</v>
      </c>
      <c r="N36" s="29">
        <f t="shared" si="35"/>
        <v>257040.3324213173</v>
      </c>
      <c r="O36" s="16">
        <f t="shared" si="26"/>
        <v>0</v>
      </c>
      <c r="P36" s="16">
        <f t="shared" si="27"/>
        <v>11</v>
      </c>
      <c r="Q36" s="16">
        <f t="shared" si="28"/>
        <v>92</v>
      </c>
      <c r="R36" s="16">
        <f t="shared" si="29"/>
        <v>92</v>
      </c>
      <c r="S36" s="16">
        <f t="shared" si="29"/>
        <v>90</v>
      </c>
      <c r="T36" s="16">
        <f t="shared" si="29"/>
        <v>91</v>
      </c>
      <c r="U36" s="16">
        <f t="shared" si="29"/>
        <v>0</v>
      </c>
      <c r="V36" s="106">
        <f t="shared" si="17"/>
        <v>0</v>
      </c>
      <c r="W36" s="141">
        <f t="shared" si="31"/>
        <v>0</v>
      </c>
      <c r="X36" s="63">
        <f>($L36+SUM($W36:W36))*(P$11*P36)</f>
        <v>258.32844319634705</v>
      </c>
      <c r="Y36" s="63">
        <f>($L36+SUM($W36:X36))*(Q$11*Q36)</f>
        <v>2189.929308457787</v>
      </c>
      <c r="Z36" s="63">
        <f>($L36+SUM($W36:Y36))*(R$11*R36)</f>
        <v>2209.2486848228123</v>
      </c>
      <c r="AA36" s="63">
        <f>($L36+SUM($W36:Z36))*(S$11*S36)</f>
        <v>2180.287658287404</v>
      </c>
      <c r="AB36" s="63">
        <f>($L36+SUM($W36:AA36))*(T$11*T36)</f>
        <v>2223.5383265529435</v>
      </c>
      <c r="AC36" s="63">
        <f>($L36+SUM($W36:AB36))*(U$11*U36)</f>
        <v>0</v>
      </c>
      <c r="AD36" s="63">
        <f>($L36+SUM($W36:AC36))*(V$11*V36)</f>
        <v>0</v>
      </c>
      <c r="AE36" s="110">
        <f t="shared" si="30"/>
        <v>9061.332421317293</v>
      </c>
    </row>
    <row r="37" spans="1:31" ht="12.75">
      <c r="A37" s="3">
        <v>6</v>
      </c>
      <c r="B37" s="15">
        <f t="shared" si="15"/>
        <v>42522</v>
      </c>
      <c r="C37" s="243">
        <f t="shared" si="24"/>
        <v>42557</v>
      </c>
      <c r="D37" s="243">
        <f t="shared" si="24"/>
        <v>42572</v>
      </c>
      <c r="E37" s="30" t="s">
        <v>147</v>
      </c>
      <c r="F37" s="3">
        <v>9</v>
      </c>
      <c r="G37" s="362">
        <v>3373</v>
      </c>
      <c r="H37" s="246">
        <f t="shared" si="25"/>
        <v>1566.72</v>
      </c>
      <c r="I37" s="246">
        <f t="shared" si="16"/>
        <v>1652.23</v>
      </c>
      <c r="J37" s="56">
        <f t="shared" si="8"/>
        <v>5572971.79</v>
      </c>
      <c r="K37" s="57">
        <f t="shared" si="32"/>
        <v>5284546.5600000005</v>
      </c>
      <c r="L37" s="77">
        <f t="shared" si="34"/>
        <v>288425.2299999995</v>
      </c>
      <c r="M37" s="78">
        <f t="shared" si="21"/>
        <v>9660.398008874085</v>
      </c>
      <c r="N37" s="76">
        <f t="shared" si="35"/>
        <v>298085.6280088736</v>
      </c>
      <c r="O37" s="16">
        <f t="shared" si="26"/>
        <v>0</v>
      </c>
      <c r="P37" s="16">
        <f t="shared" si="27"/>
        <v>0</v>
      </c>
      <c r="Q37" s="16">
        <f t="shared" si="28"/>
        <v>72</v>
      </c>
      <c r="R37" s="16">
        <f t="shared" si="29"/>
        <v>92</v>
      </c>
      <c r="S37" s="16">
        <f t="shared" si="29"/>
        <v>90</v>
      </c>
      <c r="T37" s="16">
        <f t="shared" si="29"/>
        <v>91</v>
      </c>
      <c r="U37" s="16">
        <f t="shared" si="29"/>
        <v>0</v>
      </c>
      <c r="V37" s="106">
        <f t="shared" si="17"/>
        <v>0</v>
      </c>
      <c r="W37" s="141">
        <f t="shared" si="31"/>
        <v>0</v>
      </c>
      <c r="X37" s="63">
        <f>($L37+SUM($W37:W37))*(P$11*P37)</f>
        <v>0</v>
      </c>
      <c r="Y37" s="63">
        <f>($L37+SUM($W37:X37))*(Q$11*Q37)</f>
        <v>1991.3193961643804</v>
      </c>
      <c r="Z37" s="63">
        <f>($L37+SUM($W37:Y37))*(R$11*R37)</f>
        <v>2562.0309289195834</v>
      </c>
      <c r="AA37" s="63">
        <f>($L37+SUM($W37:Z37))*(S$11*S37)</f>
        <v>2528.44528225757</v>
      </c>
      <c r="AB37" s="63">
        <f>($L37+SUM($W37:AA37))*(T$11*T37)</f>
        <v>2578.602401532551</v>
      </c>
      <c r="AC37" s="63">
        <f>($L37+SUM($W37:AB37))*(U$11*U37)</f>
        <v>0</v>
      </c>
      <c r="AD37" s="63">
        <f>($L37+SUM($W37:AC37))*(V$11*V37)</f>
        <v>0</v>
      </c>
      <c r="AE37" s="110">
        <f t="shared" si="30"/>
        <v>9660.398008874085</v>
      </c>
    </row>
    <row r="38" spans="1:31" ht="12.75">
      <c r="A38" s="16">
        <v>7</v>
      </c>
      <c r="B38" s="15">
        <f t="shared" si="15"/>
        <v>42552</v>
      </c>
      <c r="C38" s="243">
        <f t="shared" si="24"/>
        <v>42585</v>
      </c>
      <c r="D38" s="243">
        <f t="shared" si="24"/>
        <v>42600</v>
      </c>
      <c r="E38" s="30" t="s">
        <v>147</v>
      </c>
      <c r="F38" s="3">
        <v>9</v>
      </c>
      <c r="G38" s="362">
        <v>3616</v>
      </c>
      <c r="H38" s="246">
        <f aca="true" t="shared" si="36" ref="H38:H55">$K$8</f>
        <v>1623.7</v>
      </c>
      <c r="I38" s="246">
        <f t="shared" si="16"/>
        <v>1652.23</v>
      </c>
      <c r="J38" s="56">
        <f t="shared" si="8"/>
        <v>5974463.68</v>
      </c>
      <c r="K38" s="74">
        <f t="shared" si="32"/>
        <v>5871299.2</v>
      </c>
      <c r="L38" s="77">
        <f t="shared" si="34"/>
        <v>103164.47999999952</v>
      </c>
      <c r="M38" s="75">
        <f aca="true" t="shared" si="37" ref="M38:M85">+AE38</f>
        <v>3171.045298747441</v>
      </c>
      <c r="N38" s="76">
        <f t="shared" si="35"/>
        <v>106335.52529874696</v>
      </c>
      <c r="O38" s="16">
        <f t="shared" si="26"/>
        <v>0</v>
      </c>
      <c r="P38" s="16">
        <f t="shared" si="27"/>
        <v>0</v>
      </c>
      <c r="Q38" s="16">
        <f t="shared" si="28"/>
        <v>44</v>
      </c>
      <c r="R38" s="16">
        <f t="shared" si="29"/>
        <v>92</v>
      </c>
      <c r="S38" s="16">
        <f t="shared" si="29"/>
        <v>90</v>
      </c>
      <c r="T38" s="16">
        <f t="shared" si="29"/>
        <v>91</v>
      </c>
      <c r="U38" s="16">
        <f t="shared" si="29"/>
        <v>0</v>
      </c>
      <c r="V38" s="106">
        <f t="shared" si="17"/>
        <v>0</v>
      </c>
      <c r="W38" s="141">
        <f t="shared" si="31"/>
        <v>0</v>
      </c>
      <c r="X38" s="63">
        <f>($L38+SUM($W38:W38))*(P$11*P38)</f>
        <v>0</v>
      </c>
      <c r="Y38" s="63">
        <f>($L38+SUM($W38:X38))*(Q$11*Q38)</f>
        <v>435.2693128767104</v>
      </c>
      <c r="Z38" s="63">
        <f>($L38+SUM($W38:Y38))*(R$11*R38)</f>
        <v>913.9484733903055</v>
      </c>
      <c r="AA38" s="63">
        <f>($L38+SUM($W38:Z38))*(S$11*S38)</f>
        <v>901.9675288403826</v>
      </c>
      <c r="AB38" s="63">
        <f>($L38+SUM($W38:AA38))*(T$11*T38)</f>
        <v>919.8599836400426</v>
      </c>
      <c r="AC38" s="63">
        <f>($L38+SUM($W38:AB38))*(U$11*U38)</f>
        <v>0</v>
      </c>
      <c r="AD38" s="63">
        <f>($L38+SUM($W38:AC38))*(V$11*V38)</f>
        <v>0</v>
      </c>
      <c r="AE38" s="110">
        <f aca="true" t="shared" si="38" ref="AE38:AE43">SUM(W38:AD38)</f>
        <v>3171.045298747441</v>
      </c>
    </row>
    <row r="39" spans="1:31" ht="12.75">
      <c r="A39" s="3">
        <v>8</v>
      </c>
      <c r="B39" s="15">
        <f t="shared" si="15"/>
        <v>42583</v>
      </c>
      <c r="C39" s="243">
        <f t="shared" si="24"/>
        <v>42619</v>
      </c>
      <c r="D39" s="243">
        <f t="shared" si="24"/>
        <v>42634</v>
      </c>
      <c r="E39" s="30" t="s">
        <v>147</v>
      </c>
      <c r="F39" s="3">
        <v>9</v>
      </c>
      <c r="G39" s="362">
        <v>3626</v>
      </c>
      <c r="H39" s="246">
        <f t="shared" si="36"/>
        <v>1623.7</v>
      </c>
      <c r="I39" s="246">
        <f t="shared" si="16"/>
        <v>1652.23</v>
      </c>
      <c r="J39" s="56">
        <f t="shared" si="8"/>
        <v>5990985.98</v>
      </c>
      <c r="K39" s="74">
        <f t="shared" si="32"/>
        <v>5887536.2</v>
      </c>
      <c r="L39" s="77">
        <f t="shared" si="34"/>
        <v>103449.78000000026</v>
      </c>
      <c r="M39" s="75">
        <f t="shared" si="37"/>
        <v>2833.633689528929</v>
      </c>
      <c r="N39" s="76">
        <f t="shared" si="35"/>
        <v>106283.41368952919</v>
      </c>
      <c r="O39" s="16">
        <f t="shared" si="26"/>
        <v>0</v>
      </c>
      <c r="P39" s="16">
        <f t="shared" si="27"/>
        <v>0</v>
      </c>
      <c r="Q39" s="16">
        <f t="shared" si="28"/>
        <v>10</v>
      </c>
      <c r="R39" s="16">
        <f t="shared" si="29"/>
        <v>92</v>
      </c>
      <c r="S39" s="16">
        <f t="shared" si="29"/>
        <v>90</v>
      </c>
      <c r="T39" s="16">
        <f t="shared" si="29"/>
        <v>91</v>
      </c>
      <c r="U39" s="16">
        <f t="shared" si="29"/>
        <v>0</v>
      </c>
      <c r="V39" s="106">
        <f t="shared" si="17"/>
        <v>0</v>
      </c>
      <c r="W39" s="141">
        <f t="shared" si="31"/>
        <v>0</v>
      </c>
      <c r="X39" s="63">
        <f>($L39+SUM($W39:W39))*(P$11*P39)</f>
        <v>0</v>
      </c>
      <c r="Y39" s="63">
        <f>($L39+SUM($W39:X39))*(Q$11*Q39)</f>
        <v>99.19841917808245</v>
      </c>
      <c r="Z39" s="63">
        <f>($L39+SUM($W39:Y39))*(R$11*R39)</f>
        <v>913.5005767390529</v>
      </c>
      <c r="AA39" s="63">
        <f>($L39+SUM($W39:Z39))*(S$11*S39)</f>
        <v>901.5255036633968</v>
      </c>
      <c r="AB39" s="63">
        <f>($L39+SUM($W39:AA39))*(T$11*T39)</f>
        <v>919.4091899483968</v>
      </c>
      <c r="AC39" s="63">
        <f>($L39+SUM($W39:AB39))*(U$11*U39)</f>
        <v>0</v>
      </c>
      <c r="AD39" s="63">
        <f>($L39+SUM($W39:AC39))*(V$11*V39)</f>
        <v>0</v>
      </c>
      <c r="AE39" s="110">
        <f t="shared" si="38"/>
        <v>2833.633689528929</v>
      </c>
    </row>
    <row r="40" spans="1:31" ht="12.75">
      <c r="A40" s="3">
        <v>9</v>
      </c>
      <c r="B40" s="15">
        <f t="shared" si="15"/>
        <v>42614</v>
      </c>
      <c r="C40" s="243">
        <f t="shared" si="24"/>
        <v>42648</v>
      </c>
      <c r="D40" s="243">
        <f t="shared" si="24"/>
        <v>42663</v>
      </c>
      <c r="E40" s="30" t="s">
        <v>147</v>
      </c>
      <c r="F40" s="3">
        <v>9</v>
      </c>
      <c r="G40" s="362">
        <v>3323</v>
      </c>
      <c r="H40" s="246">
        <f t="shared" si="36"/>
        <v>1623.7</v>
      </c>
      <c r="I40" s="246">
        <f t="shared" si="16"/>
        <v>1652.23</v>
      </c>
      <c r="J40" s="56">
        <f t="shared" si="8"/>
        <v>5490360.29</v>
      </c>
      <c r="K40" s="74">
        <f t="shared" si="32"/>
        <v>5395555.100000001</v>
      </c>
      <c r="L40" s="77">
        <f t="shared" si="34"/>
        <v>94805.18999999948</v>
      </c>
      <c r="M40" s="75">
        <f t="shared" si="37"/>
        <v>2327.798426224893</v>
      </c>
      <c r="N40" s="76">
        <f t="shared" si="35"/>
        <v>97132.98842622437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73</v>
      </c>
      <c r="S40" s="16">
        <f t="shared" si="29"/>
        <v>90</v>
      </c>
      <c r="T40" s="16">
        <f t="shared" si="29"/>
        <v>91</v>
      </c>
      <c r="U40" s="16">
        <f t="shared" si="29"/>
        <v>0</v>
      </c>
      <c r="V40" s="106">
        <f t="shared" si="17"/>
        <v>0</v>
      </c>
      <c r="W40" s="141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663.6363299999964</v>
      </c>
      <c r="AA40" s="63">
        <f>($L40+SUM($W40:Z40))*(S$11*S40)</f>
        <v>823.9090491493106</v>
      </c>
      <c r="AB40" s="63">
        <f>($L40+SUM($W40:AA40))*(T$11*T40)</f>
        <v>840.253047075586</v>
      </c>
      <c r="AC40" s="63">
        <f>($L40+SUM($W40:AB40))*(U$11*U40)</f>
        <v>0</v>
      </c>
      <c r="AD40" s="63">
        <f>($L40+SUM($W40:AC40))*(V$11*V40)</f>
        <v>0</v>
      </c>
      <c r="AE40" s="110">
        <f t="shared" si="38"/>
        <v>2327.798426224893</v>
      </c>
    </row>
    <row r="41" spans="1:31" ht="12.75">
      <c r="A41" s="16">
        <v>10</v>
      </c>
      <c r="B41" s="15">
        <f t="shared" si="15"/>
        <v>42644</v>
      </c>
      <c r="C41" s="243">
        <f t="shared" si="24"/>
        <v>42677</v>
      </c>
      <c r="D41" s="243">
        <f t="shared" si="24"/>
        <v>42692</v>
      </c>
      <c r="E41" s="30" t="s">
        <v>147</v>
      </c>
      <c r="F41" s="3">
        <v>9</v>
      </c>
      <c r="G41" s="362">
        <v>2950</v>
      </c>
      <c r="H41" s="246">
        <f t="shared" si="36"/>
        <v>1623.7</v>
      </c>
      <c r="I41" s="246">
        <f t="shared" si="16"/>
        <v>1652.23</v>
      </c>
      <c r="J41" s="56">
        <f t="shared" si="8"/>
        <v>4874078.5</v>
      </c>
      <c r="K41" s="74">
        <f t="shared" si="32"/>
        <v>4789915</v>
      </c>
      <c r="L41" s="77">
        <f t="shared" si="34"/>
        <v>84163.5</v>
      </c>
      <c r="M41" s="75">
        <f t="shared" si="37"/>
        <v>1828.384349741199</v>
      </c>
      <c r="N41" s="76">
        <f t="shared" si="35"/>
        <v>85991.8843497412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44</v>
      </c>
      <c r="S41" s="16">
        <f t="shared" si="29"/>
        <v>90</v>
      </c>
      <c r="T41" s="16">
        <f t="shared" si="29"/>
        <v>91</v>
      </c>
      <c r="U41" s="16">
        <f t="shared" si="29"/>
        <v>0</v>
      </c>
      <c r="V41" s="106">
        <f t="shared" si="17"/>
        <v>0</v>
      </c>
      <c r="W41" s="141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355.100794520548</v>
      </c>
      <c r="AA41" s="63">
        <f>($L41+SUM($W41:Z41))*(S$11*S41)</f>
        <v>729.4071027472322</v>
      </c>
      <c r="AB41" s="63">
        <f>($L41+SUM($W41:AA41))*(T$11*T41)</f>
        <v>743.8764524734189</v>
      </c>
      <c r="AC41" s="63">
        <f>($L41+SUM($W41:AB41))*(U$11*U41)</f>
        <v>0</v>
      </c>
      <c r="AD41" s="63">
        <f>($L41+SUM($W41:AC41))*(V$11*V41)</f>
        <v>0</v>
      </c>
      <c r="AE41" s="110">
        <f t="shared" si="38"/>
        <v>1828.384349741199</v>
      </c>
    </row>
    <row r="42" spans="1:31" ht="12.75">
      <c r="A42" s="3">
        <v>11</v>
      </c>
      <c r="B42" s="15">
        <f t="shared" si="15"/>
        <v>42675</v>
      </c>
      <c r="C42" s="243">
        <f t="shared" si="24"/>
        <v>42709</v>
      </c>
      <c r="D42" s="243">
        <f t="shared" si="24"/>
        <v>42724</v>
      </c>
      <c r="E42" s="30" t="s">
        <v>147</v>
      </c>
      <c r="F42" s="3">
        <v>9</v>
      </c>
      <c r="G42" s="362">
        <v>2545</v>
      </c>
      <c r="H42" s="246">
        <f t="shared" si="36"/>
        <v>1623.7</v>
      </c>
      <c r="I42" s="246">
        <f t="shared" si="16"/>
        <v>1652.23</v>
      </c>
      <c r="J42" s="56">
        <f t="shared" si="8"/>
        <v>4204925.35</v>
      </c>
      <c r="K42" s="74">
        <f t="shared" si="32"/>
        <v>4132316.5</v>
      </c>
      <c r="L42" s="77">
        <f t="shared" si="34"/>
        <v>72608.84999999963</v>
      </c>
      <c r="M42" s="75">
        <f t="shared" si="37"/>
        <v>1350.6853847336236</v>
      </c>
      <c r="N42" s="76">
        <f t="shared" si="35"/>
        <v>73959.53538473324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12</v>
      </c>
      <c r="S42" s="16">
        <f t="shared" si="29"/>
        <v>90</v>
      </c>
      <c r="T42" s="16">
        <f t="shared" si="29"/>
        <v>91</v>
      </c>
      <c r="U42" s="16">
        <f t="shared" si="29"/>
        <v>0</v>
      </c>
      <c r="V42" s="106">
        <f t="shared" si="17"/>
        <v>0</v>
      </c>
      <c r="W42" s="141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83.54990958904068</v>
      </c>
      <c r="AA42" s="63">
        <f>($L42+SUM($W42:Z42))*(S$11*S42)</f>
        <v>627.3453690827515</v>
      </c>
      <c r="AB42" s="63">
        <f>($L42+SUM($W42:AA42))*(T$11*T42)</f>
        <v>639.7901060618314</v>
      </c>
      <c r="AC42" s="63">
        <f>($L42+SUM($W42:AB42))*(U$11*U42)</f>
        <v>0</v>
      </c>
      <c r="AD42" s="63">
        <f>($L42+SUM($W42:AC42))*(V$11*V42)</f>
        <v>0</v>
      </c>
      <c r="AE42" s="110">
        <f t="shared" si="38"/>
        <v>1350.6853847336236</v>
      </c>
    </row>
    <row r="43" spans="1:31" ht="12.75">
      <c r="A43" s="3">
        <v>12</v>
      </c>
      <c r="B43" s="15">
        <f t="shared" si="15"/>
        <v>42705</v>
      </c>
      <c r="C43" s="243">
        <f t="shared" si="24"/>
        <v>42740</v>
      </c>
      <c r="D43" s="243">
        <f t="shared" si="24"/>
        <v>42755</v>
      </c>
      <c r="E43" s="30" t="s">
        <v>147</v>
      </c>
      <c r="F43" s="3">
        <v>9</v>
      </c>
      <c r="G43" s="363">
        <v>2984</v>
      </c>
      <c r="H43" s="247">
        <f t="shared" si="36"/>
        <v>1623.7</v>
      </c>
      <c r="I43" s="247">
        <f t="shared" si="16"/>
        <v>1652.23</v>
      </c>
      <c r="J43" s="85">
        <f t="shared" si="8"/>
        <v>4930254.32</v>
      </c>
      <c r="K43" s="86">
        <f t="shared" si="32"/>
        <v>4845120.8</v>
      </c>
      <c r="L43" s="87">
        <f t="shared" si="34"/>
        <v>85133.52000000048</v>
      </c>
      <c r="M43" s="88">
        <f t="shared" si="37"/>
        <v>1327.542763858758</v>
      </c>
      <c r="N43" s="89">
        <f t="shared" si="35"/>
        <v>86461.06276385924</v>
      </c>
      <c r="O43" s="370">
        <f t="shared" si="26"/>
        <v>0</v>
      </c>
      <c r="P43" s="81">
        <f t="shared" si="27"/>
        <v>0</v>
      </c>
      <c r="Q43" s="81">
        <f t="shared" si="28"/>
        <v>0</v>
      </c>
      <c r="R43" s="81">
        <f t="shared" si="29"/>
        <v>0</v>
      </c>
      <c r="S43" s="81">
        <f t="shared" si="29"/>
        <v>71</v>
      </c>
      <c r="T43" s="81">
        <f t="shared" si="29"/>
        <v>91</v>
      </c>
      <c r="U43" s="81">
        <f t="shared" si="29"/>
        <v>0</v>
      </c>
      <c r="V43" s="107">
        <f t="shared" si="17"/>
        <v>0</v>
      </c>
      <c r="W43" s="142">
        <f t="shared" si="31"/>
        <v>0</v>
      </c>
      <c r="X43" s="90">
        <f>($L43+SUM($W43:W43))*(P$11*P43)</f>
        <v>0</v>
      </c>
      <c r="Y43" s="90">
        <f>($L43+SUM($W43:X43))*(Q$11*Q43)</f>
        <v>0</v>
      </c>
      <c r="Z43" s="90">
        <f>($L43+SUM($W43:Y43))*(R$11*R43)</f>
        <v>0</v>
      </c>
      <c r="AA43" s="90">
        <f>($L43+SUM($W43:Z43))*(S$11*S43)</f>
        <v>579.6076635616472</v>
      </c>
      <c r="AB43" s="90">
        <f>($L43+SUM($W43:AA43))*(T$11*T43)</f>
        <v>747.9351002971107</v>
      </c>
      <c r="AC43" s="90">
        <f>($L43+SUM($W43:AB43))*(U$11*U43)</f>
        <v>0</v>
      </c>
      <c r="AD43" s="90">
        <f>($L43+SUM($W43:AC43))*(V$11*V43)</f>
        <v>0</v>
      </c>
      <c r="AE43" s="111">
        <f t="shared" si="38"/>
        <v>1327.542763858758</v>
      </c>
    </row>
    <row r="44" spans="1:31" ht="12.75">
      <c r="A44" s="16">
        <v>1</v>
      </c>
      <c r="B44" s="153">
        <f aca="true" t="shared" si="39" ref="B44:B55">DATE($N$1,A44,1)</f>
        <v>42370</v>
      </c>
      <c r="C44" s="242">
        <f aca="true" t="shared" si="40" ref="C44:D55">+C32</f>
        <v>42403</v>
      </c>
      <c r="D44" s="242">
        <f t="shared" si="40"/>
        <v>42418</v>
      </c>
      <c r="E44" s="154" t="s">
        <v>344</v>
      </c>
      <c r="F44" s="155">
        <v>9</v>
      </c>
      <c r="G44" s="364">
        <v>146</v>
      </c>
      <c r="H44" s="246">
        <f aca="true" t="shared" si="41" ref="H44:H49">$K$3</f>
        <v>1566.72</v>
      </c>
      <c r="I44" s="246">
        <f t="shared" si="16"/>
        <v>1652.23</v>
      </c>
      <c r="J44" s="55">
        <f aca="true" t="shared" si="42" ref="J44:J55">+$G44*I44</f>
        <v>241225.58000000002</v>
      </c>
      <c r="K44" s="74">
        <f aca="true" t="shared" si="43" ref="K44:K55">+$G44*H44</f>
        <v>228741.12</v>
      </c>
      <c r="L44" s="77">
        <f aca="true" t="shared" si="44" ref="L44:L55">+J44-K44</f>
        <v>12484.460000000021</v>
      </c>
      <c r="M44" s="75">
        <f aca="true" t="shared" si="45" ref="M44:M55">+AE44</f>
        <v>604.0526019979313</v>
      </c>
      <c r="N44" s="76">
        <f t="shared" si="35"/>
        <v>13088.512601997953</v>
      </c>
      <c r="O44" s="16">
        <f aca="true" t="shared" si="46" ref="O44:O55">IF($D44&lt;O$8,O$12,IF($D44&lt;P$8,P$8-$D44,0))</f>
        <v>43</v>
      </c>
      <c r="P44" s="16">
        <f aca="true" t="shared" si="47" ref="P44:P55">IF($D44&lt;P$8,P$12,IF($D44&lt;Q$8,Q$8-$D44,0))</f>
        <v>91</v>
      </c>
      <c r="Q44" s="16">
        <f aca="true" t="shared" si="48" ref="Q44:Q55">IF($D44&lt;Q$8,Q$12,IF($D44&lt;R$8,R$8-$D44,0))</f>
        <v>92</v>
      </c>
      <c r="R44" s="16">
        <f aca="true" t="shared" si="49" ref="R44:R55">IF($D44&lt;R$8,R$12,IF($D44&lt;S$8,S$8-$D44,0))</f>
        <v>92</v>
      </c>
      <c r="S44" s="16">
        <f aca="true" t="shared" si="50" ref="S44:S55">IF($D44&lt;S$8,S$12,IF($D44&lt;T$8,T$8-$D44,0))</f>
        <v>90</v>
      </c>
      <c r="T44" s="16">
        <f aca="true" t="shared" si="51" ref="T44:T55">IF($D44&lt;T$8,T$12,IF($D44&lt;U$8,U$8-$D44,0))</f>
        <v>91</v>
      </c>
      <c r="U44" s="16">
        <f aca="true" t="shared" si="52" ref="U44:U55">IF($D44&lt;U$8,U$12,IF($D44&lt;V$8,V$8-$D44,0))</f>
        <v>0</v>
      </c>
      <c r="V44" s="106">
        <f aca="true" t="shared" si="53" ref="V44:V55">IF(W$8&lt;V$8,0,IF($D44&lt;V$8,V$12,IF($D44&lt;W$8,W$8-$D44,0)))</f>
        <v>0</v>
      </c>
      <c r="W44" s="141">
        <f aca="true" t="shared" si="54" ref="W44:W55">$L44*O$11*O44</f>
        <v>47.80009000000008</v>
      </c>
      <c r="X44" s="63">
        <f>($L44+SUM($W44:W44))*(P$11*P44)</f>
        <v>108.00290300575637</v>
      </c>
      <c r="Y44" s="63">
        <f>($L44+SUM($W44:X44))*(Q$11*Q44)</f>
        <v>111.51136119857154</v>
      </c>
      <c r="Z44" s="63">
        <f>($L44+SUM($W44:Y44))*(R$11*R44)</f>
        <v>112.49510526174797</v>
      </c>
      <c r="AA44" s="63">
        <f>($L44+SUM($W44:Z44))*(S$11*S44)</f>
        <v>111.0204076638855</v>
      </c>
      <c r="AB44" s="63">
        <f>($L44+SUM($W44:AA44))*(T$11*T44)</f>
        <v>113.22273486796985</v>
      </c>
      <c r="AC44" s="63">
        <f>($L44+SUM($W44:AB44))*(U$11*U44)</f>
        <v>0</v>
      </c>
      <c r="AD44" s="63">
        <f>($L44+SUM($W44:AC44))*(V$11*V44)</f>
        <v>0</v>
      </c>
      <c r="AE44" s="110">
        <f aca="true" t="shared" si="55" ref="AE44:AE55">SUM(W44:AD44)</f>
        <v>604.0526019979313</v>
      </c>
    </row>
    <row r="45" spans="1:31" ht="12.75">
      <c r="A45" s="3">
        <v>2</v>
      </c>
      <c r="B45" s="15">
        <f t="shared" si="39"/>
        <v>42401</v>
      </c>
      <c r="C45" s="243">
        <f t="shared" si="40"/>
        <v>42432</v>
      </c>
      <c r="D45" s="243">
        <f t="shared" si="40"/>
        <v>42447</v>
      </c>
      <c r="E45" s="70" t="s">
        <v>344</v>
      </c>
      <c r="F45" s="3">
        <v>9</v>
      </c>
      <c r="G45" s="364">
        <v>150</v>
      </c>
      <c r="H45" s="246">
        <f t="shared" si="41"/>
        <v>1566.72</v>
      </c>
      <c r="I45" s="246">
        <f t="shared" si="16"/>
        <v>1652.23</v>
      </c>
      <c r="J45" s="55">
        <f t="shared" si="42"/>
        <v>247834.5</v>
      </c>
      <c r="K45" s="74">
        <f t="shared" si="43"/>
        <v>235008</v>
      </c>
      <c r="L45" s="77">
        <f t="shared" si="44"/>
        <v>12826.5</v>
      </c>
      <c r="M45" s="75">
        <f t="shared" si="45"/>
        <v>586.0114313114171</v>
      </c>
      <c r="N45" s="76">
        <f t="shared" si="35"/>
        <v>13412.511431311417</v>
      </c>
      <c r="O45" s="16">
        <f t="shared" si="46"/>
        <v>14</v>
      </c>
      <c r="P45" s="16">
        <f t="shared" si="47"/>
        <v>91</v>
      </c>
      <c r="Q45" s="16">
        <f t="shared" si="48"/>
        <v>92</v>
      </c>
      <c r="R45" s="16">
        <f t="shared" si="49"/>
        <v>92</v>
      </c>
      <c r="S45" s="16">
        <f t="shared" si="50"/>
        <v>90</v>
      </c>
      <c r="T45" s="16">
        <f t="shared" si="51"/>
        <v>91</v>
      </c>
      <c r="U45" s="16">
        <f t="shared" si="52"/>
        <v>0</v>
      </c>
      <c r="V45" s="106">
        <f t="shared" si="53"/>
        <v>0</v>
      </c>
      <c r="W45" s="141">
        <f t="shared" si="54"/>
        <v>15.989198630136986</v>
      </c>
      <c r="X45" s="63">
        <f>($L45+SUM($W45:W45))*(P$11*P45)</f>
        <v>110.67645463078816</v>
      </c>
      <c r="Y45" s="63">
        <f>($L45+SUM($W45:X45))*(Q$11*Q45)</f>
        <v>114.27176274931557</v>
      </c>
      <c r="Z45" s="63">
        <f>($L45+SUM($W45:Y45))*(R$11*R45)</f>
        <v>115.27985884809037</v>
      </c>
      <c r="AA45" s="63">
        <f>($L45+SUM($W45:Z45))*(S$11*S45)</f>
        <v>113.76865593370889</v>
      </c>
      <c r="AB45" s="63">
        <f>($L45+SUM($W45:AA45))*(T$11*T45)</f>
        <v>116.02550051937712</v>
      </c>
      <c r="AC45" s="63">
        <f>($L45+SUM($W45:AB45))*(U$11*U45)</f>
        <v>0</v>
      </c>
      <c r="AD45" s="63">
        <f>($L45+SUM($W45:AC45))*(V$11*V45)</f>
        <v>0</v>
      </c>
      <c r="AE45" s="110">
        <f t="shared" si="55"/>
        <v>586.0114313114171</v>
      </c>
    </row>
    <row r="46" spans="1:31" ht="12.75">
      <c r="A46" s="3">
        <v>3</v>
      </c>
      <c r="B46" s="15">
        <f t="shared" si="39"/>
        <v>42430</v>
      </c>
      <c r="C46" s="243">
        <f t="shared" si="40"/>
        <v>42465</v>
      </c>
      <c r="D46" s="243">
        <f t="shared" si="40"/>
        <v>42480</v>
      </c>
      <c r="E46" s="70" t="s">
        <v>344</v>
      </c>
      <c r="F46" s="3">
        <v>9</v>
      </c>
      <c r="G46" s="364">
        <v>114</v>
      </c>
      <c r="H46" s="246">
        <f t="shared" si="41"/>
        <v>1566.72</v>
      </c>
      <c r="I46" s="246">
        <f t="shared" si="16"/>
        <v>1652.23</v>
      </c>
      <c r="J46" s="55">
        <f t="shared" si="42"/>
        <v>188354.22</v>
      </c>
      <c r="K46" s="74">
        <f t="shared" si="43"/>
        <v>178606.08000000002</v>
      </c>
      <c r="L46" s="77">
        <f t="shared" si="44"/>
        <v>9748.139999999985</v>
      </c>
      <c r="M46" s="75">
        <f t="shared" si="45"/>
        <v>414.5150921616854</v>
      </c>
      <c r="N46" s="76">
        <f t="shared" si="35"/>
        <v>10162.65509216167</v>
      </c>
      <c r="O46" s="16">
        <f t="shared" si="46"/>
        <v>0</v>
      </c>
      <c r="P46" s="16">
        <f t="shared" si="47"/>
        <v>72</v>
      </c>
      <c r="Q46" s="16">
        <f t="shared" si="48"/>
        <v>92</v>
      </c>
      <c r="R46" s="16">
        <f t="shared" si="49"/>
        <v>92</v>
      </c>
      <c r="S46" s="16">
        <f t="shared" si="50"/>
        <v>90</v>
      </c>
      <c r="T46" s="16">
        <f t="shared" si="51"/>
        <v>91</v>
      </c>
      <c r="U46" s="16">
        <f t="shared" si="52"/>
        <v>0</v>
      </c>
      <c r="V46" s="106">
        <f t="shared" si="53"/>
        <v>0</v>
      </c>
      <c r="W46" s="141">
        <f t="shared" si="54"/>
        <v>0</v>
      </c>
      <c r="X46" s="63">
        <f>($L46+SUM($W46:W46))*(P$11*P46)</f>
        <v>66.46896118356155</v>
      </c>
      <c r="Y46" s="63">
        <f>($L46+SUM($W46:X46))*(Q$11*Q46)</f>
        <v>86.58367357537267</v>
      </c>
      <c r="Z46" s="63">
        <f>($L46+SUM($W46:Y46))*(R$11*R46)</f>
        <v>87.34750762718829</v>
      </c>
      <c r="AA46" s="63">
        <f>($L46+SUM($W46:Z46))*(S$11*S46)</f>
        <v>86.2024697219623</v>
      </c>
      <c r="AB46" s="63">
        <f>($L46+SUM($W46:AA46))*(T$11*T46)</f>
        <v>87.91248005360056</v>
      </c>
      <c r="AC46" s="63">
        <f>($L46+SUM($W46:AB46))*(U$11*U46)</f>
        <v>0</v>
      </c>
      <c r="AD46" s="63">
        <f>($L46+SUM($W46:AC46))*(V$11*V46)</f>
        <v>0</v>
      </c>
      <c r="AE46" s="110">
        <f t="shared" si="55"/>
        <v>414.5150921616854</v>
      </c>
    </row>
    <row r="47" spans="1:31" ht="12.75">
      <c r="A47" s="16">
        <v>4</v>
      </c>
      <c r="B47" s="15">
        <f t="shared" si="39"/>
        <v>42461</v>
      </c>
      <c r="C47" s="243">
        <f t="shared" si="40"/>
        <v>42494</v>
      </c>
      <c r="D47" s="243">
        <f t="shared" si="40"/>
        <v>42509</v>
      </c>
      <c r="E47" s="70" t="s">
        <v>344</v>
      </c>
      <c r="F47" s="3">
        <v>9</v>
      </c>
      <c r="G47" s="364">
        <v>97</v>
      </c>
      <c r="H47" s="246">
        <f t="shared" si="41"/>
        <v>1566.72</v>
      </c>
      <c r="I47" s="246">
        <f t="shared" si="16"/>
        <v>1652.23</v>
      </c>
      <c r="J47" s="55">
        <f t="shared" si="42"/>
        <v>160266.31</v>
      </c>
      <c r="K47" s="74">
        <f t="shared" si="43"/>
        <v>151971.84</v>
      </c>
      <c r="L47" s="77">
        <f t="shared" si="44"/>
        <v>8294.470000000001</v>
      </c>
      <c r="M47" s="75">
        <f t="shared" si="45"/>
        <v>329.1137453579436</v>
      </c>
      <c r="N47" s="76">
        <f t="shared" si="35"/>
        <v>8623.583745357944</v>
      </c>
      <c r="O47" s="16">
        <f t="shared" si="46"/>
        <v>0</v>
      </c>
      <c r="P47" s="16">
        <f t="shared" si="47"/>
        <v>43</v>
      </c>
      <c r="Q47" s="16">
        <f t="shared" si="48"/>
        <v>92</v>
      </c>
      <c r="R47" s="16">
        <f t="shared" si="49"/>
        <v>92</v>
      </c>
      <c r="S47" s="16">
        <f t="shared" si="50"/>
        <v>90</v>
      </c>
      <c r="T47" s="16">
        <f t="shared" si="51"/>
        <v>91</v>
      </c>
      <c r="U47" s="16">
        <f t="shared" si="52"/>
        <v>0</v>
      </c>
      <c r="V47" s="106">
        <f t="shared" si="53"/>
        <v>0</v>
      </c>
      <c r="W47" s="141">
        <f t="shared" si="54"/>
        <v>0</v>
      </c>
      <c r="X47" s="63">
        <f>($L47+SUM($W47:W47))*(P$11*P47)</f>
        <v>33.77705130319635</v>
      </c>
      <c r="Y47" s="63">
        <f>($L47+SUM($W47:X47))*(Q$11*Q47)</f>
        <v>73.47111097314054</v>
      </c>
      <c r="Z47" s="63">
        <f>($L47+SUM($W47:Y47))*(R$11*R47)</f>
        <v>74.11926707542415</v>
      </c>
      <c r="AA47" s="63">
        <f>($L47+SUM($W47:Z47))*(S$11*S47)</f>
        <v>73.14763808892617</v>
      </c>
      <c r="AB47" s="63">
        <f>($L47+SUM($W47:AA47))*(T$11*T47)</f>
        <v>74.59867791725641</v>
      </c>
      <c r="AC47" s="63">
        <f>($L47+SUM($W47:AB47))*(U$11*U47)</f>
        <v>0</v>
      </c>
      <c r="AD47" s="63">
        <f>($L47+SUM($W47:AC47))*(V$11*V47)</f>
        <v>0</v>
      </c>
      <c r="AE47" s="110">
        <f t="shared" si="55"/>
        <v>329.1137453579436</v>
      </c>
    </row>
    <row r="48" spans="1:31" ht="12.75">
      <c r="A48" s="3">
        <v>5</v>
      </c>
      <c r="B48" s="15">
        <f t="shared" si="39"/>
        <v>42491</v>
      </c>
      <c r="C48" s="243">
        <f t="shared" si="40"/>
        <v>42524</v>
      </c>
      <c r="D48" s="243">
        <f t="shared" si="40"/>
        <v>42541</v>
      </c>
      <c r="E48" s="70" t="s">
        <v>344</v>
      </c>
      <c r="F48" s="3">
        <v>9</v>
      </c>
      <c r="G48" s="364">
        <v>114</v>
      </c>
      <c r="H48" s="246">
        <f t="shared" si="41"/>
        <v>1566.72</v>
      </c>
      <c r="I48" s="246">
        <f t="shared" si="16"/>
        <v>1652.23</v>
      </c>
      <c r="J48" s="55">
        <f t="shared" si="42"/>
        <v>188354.22</v>
      </c>
      <c r="K48" s="74">
        <f t="shared" si="43"/>
        <v>178606.08000000002</v>
      </c>
      <c r="L48" s="77">
        <f t="shared" si="44"/>
        <v>9748.139999999985</v>
      </c>
      <c r="M48" s="75">
        <f t="shared" si="45"/>
        <v>356.2041020793689</v>
      </c>
      <c r="N48" s="76">
        <f t="shared" si="35"/>
        <v>10104.344102079354</v>
      </c>
      <c r="O48" s="16">
        <f t="shared" si="46"/>
        <v>0</v>
      </c>
      <c r="P48" s="16">
        <f t="shared" si="47"/>
        <v>11</v>
      </c>
      <c r="Q48" s="16">
        <f t="shared" si="48"/>
        <v>92</v>
      </c>
      <c r="R48" s="16">
        <f t="shared" si="49"/>
        <v>92</v>
      </c>
      <c r="S48" s="16">
        <f t="shared" si="50"/>
        <v>90</v>
      </c>
      <c r="T48" s="16">
        <f t="shared" si="51"/>
        <v>91</v>
      </c>
      <c r="U48" s="16">
        <f t="shared" si="52"/>
        <v>0</v>
      </c>
      <c r="V48" s="106">
        <f t="shared" si="53"/>
        <v>0</v>
      </c>
      <c r="W48" s="141">
        <f t="shared" si="54"/>
        <v>0</v>
      </c>
      <c r="X48" s="63">
        <f>($L48+SUM($W48:W48))*(P$11*P48)</f>
        <v>10.154980180821902</v>
      </c>
      <c r="Y48" s="63">
        <f>($L48+SUM($W48:X48))*(Q$11*Q48)</f>
        <v>86.08687626351288</v>
      </c>
      <c r="Z48" s="63">
        <f>($L48+SUM($W48:Y48))*(R$11*R48)</f>
        <v>86.84632761027592</v>
      </c>
      <c r="AA48" s="63">
        <f>($L48+SUM($W48:Z48))*(S$11*S48)</f>
        <v>85.70785967060816</v>
      </c>
      <c r="AB48" s="63">
        <f>($L48+SUM($W48:AA48))*(T$11*T48)</f>
        <v>87.40805835415006</v>
      </c>
      <c r="AC48" s="63">
        <f>($L48+SUM($W48:AB48))*(U$11*U48)</f>
        <v>0</v>
      </c>
      <c r="AD48" s="63">
        <f>($L48+SUM($W48:AC48))*(V$11*V48)</f>
        <v>0</v>
      </c>
      <c r="AE48" s="110">
        <f t="shared" si="55"/>
        <v>356.2041020793689</v>
      </c>
    </row>
    <row r="49" spans="1:31" ht="12.75">
      <c r="A49" s="3">
        <v>6</v>
      </c>
      <c r="B49" s="15">
        <f t="shared" si="39"/>
        <v>42522</v>
      </c>
      <c r="C49" s="243">
        <f t="shared" si="40"/>
        <v>42557</v>
      </c>
      <c r="D49" s="243">
        <f t="shared" si="40"/>
        <v>42572</v>
      </c>
      <c r="E49" s="70" t="s">
        <v>344</v>
      </c>
      <c r="F49" s="3">
        <v>9</v>
      </c>
      <c r="G49" s="364">
        <v>129</v>
      </c>
      <c r="H49" s="246">
        <f t="shared" si="41"/>
        <v>1566.72</v>
      </c>
      <c r="I49" s="246">
        <f t="shared" si="16"/>
        <v>1652.23</v>
      </c>
      <c r="J49" s="55">
        <f t="shared" si="42"/>
        <v>213137.67</v>
      </c>
      <c r="K49" s="74">
        <f t="shared" si="43"/>
        <v>202106.88</v>
      </c>
      <c r="L49" s="77">
        <f t="shared" si="44"/>
        <v>11030.790000000008</v>
      </c>
      <c r="M49" s="75">
        <f t="shared" si="45"/>
        <v>369.4608191950074</v>
      </c>
      <c r="N49" s="76">
        <f t="shared" si="35"/>
        <v>11400.250819195015</v>
      </c>
      <c r="O49" s="16">
        <f t="shared" si="46"/>
        <v>0</v>
      </c>
      <c r="P49" s="16">
        <f t="shared" si="47"/>
        <v>0</v>
      </c>
      <c r="Q49" s="16">
        <f t="shared" si="48"/>
        <v>72</v>
      </c>
      <c r="R49" s="16">
        <f t="shared" si="49"/>
        <v>92</v>
      </c>
      <c r="S49" s="16">
        <f t="shared" si="50"/>
        <v>90</v>
      </c>
      <c r="T49" s="16">
        <f t="shared" si="51"/>
        <v>91</v>
      </c>
      <c r="U49" s="16">
        <f t="shared" si="52"/>
        <v>0</v>
      </c>
      <c r="V49" s="106">
        <f t="shared" si="53"/>
        <v>0</v>
      </c>
      <c r="W49" s="141">
        <f t="shared" si="54"/>
        <v>0</v>
      </c>
      <c r="X49" s="63">
        <f>($L49+SUM($W49:W49))*(P$11*P49)</f>
        <v>0</v>
      </c>
      <c r="Y49" s="63">
        <f>($L49+SUM($W49:X49))*(Q$11*Q49)</f>
        <v>76.15778301369869</v>
      </c>
      <c r="Z49" s="63">
        <f>($L49+SUM($W49:Y49))*(R$11*R49)</f>
        <v>97.98458044192915</v>
      </c>
      <c r="AA49" s="63">
        <f>($L49+SUM($W49:Z49))*(S$11*S49)</f>
        <v>96.70010121886372</v>
      </c>
      <c r="AB49" s="63">
        <f>($L49+SUM($W49:AA49))*(T$11*T49)</f>
        <v>98.61835452051584</v>
      </c>
      <c r="AC49" s="63">
        <f>($L49+SUM($W49:AB49))*(U$11*U49)</f>
        <v>0</v>
      </c>
      <c r="AD49" s="63">
        <f>($L49+SUM($W49:AC49))*(V$11*V49)</f>
        <v>0</v>
      </c>
      <c r="AE49" s="110">
        <f t="shared" si="55"/>
        <v>369.4608191950074</v>
      </c>
    </row>
    <row r="50" spans="1:31" ht="12.75">
      <c r="A50" s="16">
        <v>7</v>
      </c>
      <c r="B50" s="15">
        <f t="shared" si="39"/>
        <v>42552</v>
      </c>
      <c r="C50" s="243">
        <f t="shared" si="40"/>
        <v>42585</v>
      </c>
      <c r="D50" s="243">
        <f t="shared" si="40"/>
        <v>42600</v>
      </c>
      <c r="E50" s="70" t="s">
        <v>344</v>
      </c>
      <c r="F50" s="3">
        <v>9</v>
      </c>
      <c r="G50" s="364">
        <v>142</v>
      </c>
      <c r="H50" s="246">
        <f t="shared" si="36"/>
        <v>1623.7</v>
      </c>
      <c r="I50" s="246">
        <f t="shared" si="16"/>
        <v>1652.23</v>
      </c>
      <c r="J50" s="55">
        <f t="shared" si="42"/>
        <v>234616.66</v>
      </c>
      <c r="K50" s="74">
        <f t="shared" si="43"/>
        <v>230565.4</v>
      </c>
      <c r="L50" s="77">
        <f t="shared" si="44"/>
        <v>4051.2600000000093</v>
      </c>
      <c r="M50" s="75">
        <f t="shared" si="45"/>
        <v>124.52666825833512</v>
      </c>
      <c r="N50" s="76">
        <f t="shared" si="35"/>
        <v>4175.786668258344</v>
      </c>
      <c r="O50" s="16">
        <f t="shared" si="46"/>
        <v>0</v>
      </c>
      <c r="P50" s="16">
        <f t="shared" si="47"/>
        <v>0</v>
      </c>
      <c r="Q50" s="16">
        <f t="shared" si="48"/>
        <v>44</v>
      </c>
      <c r="R50" s="16">
        <f t="shared" si="49"/>
        <v>92</v>
      </c>
      <c r="S50" s="16">
        <f t="shared" si="50"/>
        <v>90</v>
      </c>
      <c r="T50" s="16">
        <f t="shared" si="51"/>
        <v>91</v>
      </c>
      <c r="U50" s="16">
        <f t="shared" si="52"/>
        <v>0</v>
      </c>
      <c r="V50" s="106">
        <f t="shared" si="53"/>
        <v>0</v>
      </c>
      <c r="W50" s="141">
        <f t="shared" si="54"/>
        <v>0</v>
      </c>
      <c r="X50" s="63">
        <f>($L50+SUM($W50:W50))*(P$11*P50)</f>
        <v>0</v>
      </c>
      <c r="Y50" s="63">
        <f>($L50+SUM($W50:X50))*(Q$11*Q50)</f>
        <v>17.092987397260316</v>
      </c>
      <c r="Z50" s="63">
        <f>($L50+SUM($W50:Y50))*(R$11*R50)</f>
        <v>35.89067566964167</v>
      </c>
      <c r="AA50" s="63">
        <f>($L50+SUM($W50:Z50))*(S$11*S50)</f>
        <v>35.420185037426776</v>
      </c>
      <c r="AB50" s="63">
        <f>($L50+SUM($W50:AA50))*(T$11*T50)</f>
        <v>36.12282015400635</v>
      </c>
      <c r="AC50" s="63">
        <f>($L50+SUM($W50:AB50))*(U$11*U50)</f>
        <v>0</v>
      </c>
      <c r="AD50" s="63">
        <f>($L50+SUM($W50:AC50))*(V$11*V50)</f>
        <v>0</v>
      </c>
      <c r="AE50" s="110">
        <f t="shared" si="55"/>
        <v>124.52666825833512</v>
      </c>
    </row>
    <row r="51" spans="1:31" ht="12.75">
      <c r="A51" s="3">
        <v>8</v>
      </c>
      <c r="B51" s="15">
        <f t="shared" si="39"/>
        <v>42583</v>
      </c>
      <c r="C51" s="243">
        <f t="shared" si="40"/>
        <v>42619</v>
      </c>
      <c r="D51" s="243">
        <f t="shared" si="40"/>
        <v>42634</v>
      </c>
      <c r="E51" s="70" t="s">
        <v>344</v>
      </c>
      <c r="F51" s="3">
        <v>9</v>
      </c>
      <c r="G51" s="364">
        <v>145</v>
      </c>
      <c r="H51" s="246">
        <f t="shared" si="36"/>
        <v>1623.7</v>
      </c>
      <c r="I51" s="246">
        <f t="shared" si="16"/>
        <v>1652.23</v>
      </c>
      <c r="J51" s="55">
        <f t="shared" si="42"/>
        <v>239573.35</v>
      </c>
      <c r="K51" s="74">
        <f t="shared" si="43"/>
        <v>235436.5</v>
      </c>
      <c r="L51" s="77">
        <f t="shared" si="44"/>
        <v>4136.850000000006</v>
      </c>
      <c r="M51" s="75">
        <f t="shared" si="45"/>
        <v>113.31408852225434</v>
      </c>
      <c r="N51" s="76">
        <f t="shared" si="35"/>
        <v>4250.1640885222605</v>
      </c>
      <c r="O51" s="16">
        <f t="shared" si="46"/>
        <v>0</v>
      </c>
      <c r="P51" s="16">
        <f t="shared" si="47"/>
        <v>0</v>
      </c>
      <c r="Q51" s="16">
        <f t="shared" si="48"/>
        <v>10</v>
      </c>
      <c r="R51" s="16">
        <f t="shared" si="49"/>
        <v>92</v>
      </c>
      <c r="S51" s="16">
        <f t="shared" si="50"/>
        <v>90</v>
      </c>
      <c r="T51" s="16">
        <f t="shared" si="51"/>
        <v>91</v>
      </c>
      <c r="U51" s="16">
        <f t="shared" si="52"/>
        <v>0</v>
      </c>
      <c r="V51" s="106">
        <f t="shared" si="53"/>
        <v>0</v>
      </c>
      <c r="W51" s="141">
        <f t="shared" si="54"/>
        <v>0</v>
      </c>
      <c r="X51" s="63">
        <f>($L51+SUM($W51:W51))*(P$11*P51)</f>
        <v>0</v>
      </c>
      <c r="Y51" s="63">
        <f>($L51+SUM($W51:X51))*(Q$11*Q51)</f>
        <v>3.9668424657534307</v>
      </c>
      <c r="Z51" s="63">
        <f>($L51+SUM($W51:Y51))*(R$11*R51)</f>
        <v>36.5299458431226</v>
      </c>
      <c r="AA51" s="63">
        <f>($L51+SUM($W51:Z51))*(S$11*S51)</f>
        <v>36.05107502239172</v>
      </c>
      <c r="AB51" s="63">
        <f>($L51+SUM($W51:AA51))*(T$11*T51)</f>
        <v>36.766225190986596</v>
      </c>
      <c r="AC51" s="63">
        <f>($L51+SUM($W51:AB51))*(U$11*U51)</f>
        <v>0</v>
      </c>
      <c r="AD51" s="63">
        <f>($L51+SUM($W51:AC51))*(V$11*V51)</f>
        <v>0</v>
      </c>
      <c r="AE51" s="110">
        <f t="shared" si="55"/>
        <v>113.31408852225434</v>
      </c>
    </row>
    <row r="52" spans="1:31" ht="12.75">
      <c r="A52" s="3">
        <v>9</v>
      </c>
      <c r="B52" s="15">
        <f t="shared" si="39"/>
        <v>42614</v>
      </c>
      <c r="C52" s="243">
        <f t="shared" si="40"/>
        <v>42648</v>
      </c>
      <c r="D52" s="243">
        <f t="shared" si="40"/>
        <v>42663</v>
      </c>
      <c r="E52" s="70" t="s">
        <v>344</v>
      </c>
      <c r="F52" s="3">
        <v>9</v>
      </c>
      <c r="G52" s="364">
        <v>130</v>
      </c>
      <c r="H52" s="246">
        <f t="shared" si="36"/>
        <v>1623.7</v>
      </c>
      <c r="I52" s="246">
        <f t="shared" si="16"/>
        <v>1652.23</v>
      </c>
      <c r="J52" s="55">
        <f t="shared" si="42"/>
        <v>214789.9</v>
      </c>
      <c r="K52" s="74">
        <f t="shared" si="43"/>
        <v>211081</v>
      </c>
      <c r="L52" s="77">
        <f t="shared" si="44"/>
        <v>3708.899999999994</v>
      </c>
      <c r="M52" s="75">
        <f t="shared" si="45"/>
        <v>91.06644460103439</v>
      </c>
      <c r="N52" s="76">
        <f t="shared" si="35"/>
        <v>3799.9664446010283</v>
      </c>
      <c r="O52" s="16">
        <f t="shared" si="46"/>
        <v>0</v>
      </c>
      <c r="P52" s="16">
        <f t="shared" si="47"/>
        <v>0</v>
      </c>
      <c r="Q52" s="16">
        <f t="shared" si="48"/>
        <v>0</v>
      </c>
      <c r="R52" s="16">
        <f t="shared" si="49"/>
        <v>73</v>
      </c>
      <c r="S52" s="16">
        <f t="shared" si="50"/>
        <v>90</v>
      </c>
      <c r="T52" s="16">
        <f t="shared" si="51"/>
        <v>91</v>
      </c>
      <c r="U52" s="16">
        <f t="shared" si="52"/>
        <v>0</v>
      </c>
      <c r="V52" s="106">
        <f t="shared" si="53"/>
        <v>0</v>
      </c>
      <c r="W52" s="141">
        <f t="shared" si="5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25.962299999999964</v>
      </c>
      <c r="AA52" s="63">
        <f>($L52+SUM($W52:Z52))*(S$11*S52)</f>
        <v>32.232373273972556</v>
      </c>
      <c r="AB52" s="63">
        <f>($L52+SUM($W52:AA52))*(T$11*T52)</f>
        <v>32.87177132706187</v>
      </c>
      <c r="AC52" s="63">
        <f>($L52+SUM($W52:AB52))*(U$11*U52)</f>
        <v>0</v>
      </c>
      <c r="AD52" s="63">
        <f>($L52+SUM($W52:AC52))*(V$11*V52)</f>
        <v>0</v>
      </c>
      <c r="AE52" s="110">
        <f t="shared" si="55"/>
        <v>91.06644460103439</v>
      </c>
    </row>
    <row r="53" spans="1:31" ht="12.75">
      <c r="A53" s="16">
        <v>10</v>
      </c>
      <c r="B53" s="15">
        <f t="shared" si="39"/>
        <v>42644</v>
      </c>
      <c r="C53" s="243">
        <f t="shared" si="40"/>
        <v>42677</v>
      </c>
      <c r="D53" s="243">
        <f t="shared" si="40"/>
        <v>42692</v>
      </c>
      <c r="E53" s="70" t="s">
        <v>344</v>
      </c>
      <c r="F53" s="3">
        <v>9</v>
      </c>
      <c r="G53" s="364">
        <v>106</v>
      </c>
      <c r="H53" s="246">
        <f t="shared" si="36"/>
        <v>1623.7</v>
      </c>
      <c r="I53" s="246">
        <f t="shared" si="16"/>
        <v>1652.23</v>
      </c>
      <c r="J53" s="55">
        <f t="shared" si="42"/>
        <v>175136.38</v>
      </c>
      <c r="K53" s="74">
        <f t="shared" si="43"/>
        <v>172112.2</v>
      </c>
      <c r="L53" s="77">
        <f t="shared" si="44"/>
        <v>3024.179999999993</v>
      </c>
      <c r="M53" s="75">
        <f t="shared" si="45"/>
        <v>65.6978783296836</v>
      </c>
      <c r="N53" s="76">
        <f t="shared" si="35"/>
        <v>3089.8778783296766</v>
      </c>
      <c r="O53" s="16">
        <f t="shared" si="46"/>
        <v>0</v>
      </c>
      <c r="P53" s="16">
        <f t="shared" si="47"/>
        <v>0</v>
      </c>
      <c r="Q53" s="16">
        <f t="shared" si="48"/>
        <v>0</v>
      </c>
      <c r="R53" s="16">
        <f t="shared" si="49"/>
        <v>44</v>
      </c>
      <c r="S53" s="16">
        <f t="shared" si="50"/>
        <v>90</v>
      </c>
      <c r="T53" s="16">
        <f t="shared" si="51"/>
        <v>91</v>
      </c>
      <c r="U53" s="16">
        <f t="shared" si="52"/>
        <v>0</v>
      </c>
      <c r="V53" s="106">
        <f t="shared" si="53"/>
        <v>0</v>
      </c>
      <c r="W53" s="141">
        <f t="shared" si="5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12.759553972602713</v>
      </c>
      <c r="AA53" s="63">
        <f>($L53+SUM($W53:Z53))*(S$11*S53)</f>
        <v>26.209204369900483</v>
      </c>
      <c r="AB53" s="63">
        <f>($L53+SUM($W53:AA53))*(T$11*T53)</f>
        <v>26.729119987180415</v>
      </c>
      <c r="AC53" s="63">
        <f>($L53+SUM($W53:AB53))*(U$11*U53)</f>
        <v>0</v>
      </c>
      <c r="AD53" s="63">
        <f>($L53+SUM($W53:AC53))*(V$11*V53)</f>
        <v>0</v>
      </c>
      <c r="AE53" s="110">
        <f t="shared" si="55"/>
        <v>65.6978783296836</v>
      </c>
    </row>
    <row r="54" spans="1:31" ht="12.75">
      <c r="A54" s="3">
        <v>11</v>
      </c>
      <c r="B54" s="15">
        <f t="shared" si="39"/>
        <v>42675</v>
      </c>
      <c r="C54" s="243">
        <f t="shared" si="40"/>
        <v>42709</v>
      </c>
      <c r="D54" s="243">
        <f t="shared" si="40"/>
        <v>42724</v>
      </c>
      <c r="E54" s="70" t="s">
        <v>344</v>
      </c>
      <c r="F54" s="3">
        <v>9</v>
      </c>
      <c r="G54" s="364">
        <v>86</v>
      </c>
      <c r="H54" s="246">
        <f t="shared" si="36"/>
        <v>1623.7</v>
      </c>
      <c r="I54" s="246">
        <f t="shared" si="16"/>
        <v>1652.23</v>
      </c>
      <c r="J54" s="55">
        <f t="shared" si="42"/>
        <v>142091.78</v>
      </c>
      <c r="K54" s="74">
        <f t="shared" si="43"/>
        <v>139638.2</v>
      </c>
      <c r="L54" s="77">
        <f t="shared" si="44"/>
        <v>2453.579999999987</v>
      </c>
      <c r="M54" s="75">
        <f t="shared" si="45"/>
        <v>45.642020859368024</v>
      </c>
      <c r="N54" s="76">
        <f t="shared" si="35"/>
        <v>2499.2220208593553</v>
      </c>
      <c r="O54" s="16">
        <f t="shared" si="46"/>
        <v>0</v>
      </c>
      <c r="P54" s="16">
        <f t="shared" si="47"/>
        <v>0</v>
      </c>
      <c r="Q54" s="16">
        <f t="shared" si="48"/>
        <v>0</v>
      </c>
      <c r="R54" s="16">
        <f t="shared" si="49"/>
        <v>12</v>
      </c>
      <c r="S54" s="16">
        <f t="shared" si="50"/>
        <v>90</v>
      </c>
      <c r="T54" s="16">
        <f t="shared" si="51"/>
        <v>91</v>
      </c>
      <c r="U54" s="16">
        <f t="shared" si="52"/>
        <v>0</v>
      </c>
      <c r="V54" s="106">
        <f t="shared" si="53"/>
        <v>0</v>
      </c>
      <c r="W54" s="141">
        <f t="shared" si="5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2.823297534246561</v>
      </c>
      <c r="AA54" s="63">
        <f>($L54+SUM($W54:Z54))*(S$11*S54)</f>
        <v>21.19909695132284</v>
      </c>
      <c r="AB54" s="63">
        <f>($L54+SUM($W54:AA54))*(T$11*T54)</f>
        <v>21.619626373798624</v>
      </c>
      <c r="AC54" s="63">
        <f>($L54+SUM($W54:AB54))*(U$11*U54)</f>
        <v>0</v>
      </c>
      <c r="AD54" s="63">
        <f>($L54+SUM($W54:AC54))*(V$11*V54)</f>
        <v>0</v>
      </c>
      <c r="AE54" s="110">
        <f t="shared" si="55"/>
        <v>45.642020859368024</v>
      </c>
    </row>
    <row r="55" spans="1:31" ht="12.75">
      <c r="A55" s="3">
        <v>12</v>
      </c>
      <c r="B55" s="15">
        <f t="shared" si="39"/>
        <v>42705</v>
      </c>
      <c r="C55" s="243">
        <f t="shared" si="40"/>
        <v>42740</v>
      </c>
      <c r="D55" s="243">
        <f t="shared" si="40"/>
        <v>42755</v>
      </c>
      <c r="E55" s="70" t="s">
        <v>344</v>
      </c>
      <c r="F55" s="3">
        <v>9</v>
      </c>
      <c r="G55" s="365">
        <v>158</v>
      </c>
      <c r="H55" s="247">
        <f t="shared" si="36"/>
        <v>1623.7</v>
      </c>
      <c r="I55" s="247">
        <f t="shared" si="16"/>
        <v>1652.23</v>
      </c>
      <c r="J55" s="85">
        <f t="shared" si="42"/>
        <v>261052.34</v>
      </c>
      <c r="K55" s="86">
        <f t="shared" si="43"/>
        <v>256544.6</v>
      </c>
      <c r="L55" s="87">
        <f t="shared" si="44"/>
        <v>4507.739999999991</v>
      </c>
      <c r="M55" s="369">
        <f t="shared" si="45"/>
        <v>70.2921436627621</v>
      </c>
      <c r="N55" s="89">
        <f t="shared" si="35"/>
        <v>4578.032143662753</v>
      </c>
      <c r="O55" s="16">
        <f t="shared" si="46"/>
        <v>0</v>
      </c>
      <c r="P55" s="16">
        <f t="shared" si="47"/>
        <v>0</v>
      </c>
      <c r="Q55" s="16">
        <f t="shared" si="48"/>
        <v>0</v>
      </c>
      <c r="R55" s="16">
        <f t="shared" si="49"/>
        <v>0</v>
      </c>
      <c r="S55" s="16">
        <f t="shared" si="50"/>
        <v>71</v>
      </c>
      <c r="T55" s="16">
        <f t="shared" si="51"/>
        <v>91</v>
      </c>
      <c r="U55" s="16">
        <f t="shared" si="52"/>
        <v>0</v>
      </c>
      <c r="V55" s="106">
        <f t="shared" si="53"/>
        <v>0</v>
      </c>
      <c r="W55" s="141">
        <f t="shared" si="54"/>
        <v>0</v>
      </c>
      <c r="X55" s="63">
        <f>($L55+SUM($W55:W55))*(P$11*P55)</f>
        <v>0</v>
      </c>
      <c r="Y55" s="63">
        <f>($L55+SUM($W55:X55))*(Q$11*Q55)</f>
        <v>0</v>
      </c>
      <c r="Z55" s="63">
        <f>($L55+SUM($W55:Y55))*(R$11*R55)</f>
        <v>0</v>
      </c>
      <c r="AA55" s="63">
        <f>($L55+SUM($W55:Z55))*(S$11*S55)</f>
        <v>30.68968191780816</v>
      </c>
      <c r="AB55" s="63">
        <f>($L55+SUM($W55:AA55))*(T$11*T55)</f>
        <v>39.60246174495394</v>
      </c>
      <c r="AC55" s="63">
        <f>($L55+SUM($W55:AB55))*(U$11*U55)</f>
        <v>0</v>
      </c>
      <c r="AD55" s="63">
        <f>($L55+SUM($W55:AC55))*(V$11*V55)</f>
        <v>0</v>
      </c>
      <c r="AE55" s="110">
        <f t="shared" si="55"/>
        <v>70.2921436627621</v>
      </c>
    </row>
    <row r="56" spans="1:31" s="156" customFormat="1" ht="12.75">
      <c r="A56" s="16">
        <v>1</v>
      </c>
      <c r="B56" s="153">
        <f t="shared" si="15"/>
        <v>42370</v>
      </c>
      <c r="C56" s="242">
        <f aca="true" t="shared" si="56" ref="C56:D67">+C32</f>
        <v>42403</v>
      </c>
      <c r="D56" s="242">
        <f t="shared" si="56"/>
        <v>42418</v>
      </c>
      <c r="E56" s="154" t="s">
        <v>137</v>
      </c>
      <c r="F56" s="155">
        <v>9</v>
      </c>
      <c r="G56" s="362">
        <v>722</v>
      </c>
      <c r="H56" s="246">
        <f aca="true" t="shared" si="57" ref="H56:H61">$K$3</f>
        <v>1566.72</v>
      </c>
      <c r="I56" s="246">
        <f t="shared" si="16"/>
        <v>1652.23</v>
      </c>
      <c r="J56" s="56">
        <f t="shared" si="8"/>
        <v>1192910.06</v>
      </c>
      <c r="K56" s="57">
        <f t="shared" si="32"/>
        <v>1131171.84</v>
      </c>
      <c r="L56" s="58">
        <f t="shared" si="34"/>
        <v>61738.21999999997</v>
      </c>
      <c r="M56" s="55">
        <f t="shared" si="37"/>
        <v>2987.164237277434</v>
      </c>
      <c r="N56" s="29">
        <f t="shared" si="35"/>
        <v>64725.38423727741</v>
      </c>
      <c r="O56" s="155">
        <f t="shared" si="26"/>
        <v>43</v>
      </c>
      <c r="P56" s="155">
        <f t="shared" si="27"/>
        <v>91</v>
      </c>
      <c r="Q56" s="155">
        <f t="shared" si="28"/>
        <v>92</v>
      </c>
      <c r="R56" s="155">
        <f t="shared" si="29"/>
        <v>92</v>
      </c>
      <c r="S56" s="155">
        <f t="shared" si="29"/>
        <v>90</v>
      </c>
      <c r="T56" s="155">
        <f t="shared" si="29"/>
        <v>91</v>
      </c>
      <c r="U56" s="155">
        <f t="shared" si="29"/>
        <v>0</v>
      </c>
      <c r="V56" s="157">
        <f>IF(W$8&lt;V$8,0,IF($D56&lt;V$8,V$12,IF($D56&lt;W$8,W$8-$D56,0)))</f>
        <v>0</v>
      </c>
      <c r="W56" s="158">
        <f>$L56*O$11*O56</f>
        <v>236.38126698630126</v>
      </c>
      <c r="X56" s="159">
        <f>($L56+SUM($W56:W56))*(P$11*P56)</f>
        <v>534.096547740794</v>
      </c>
      <c r="Y56" s="159">
        <f>($L56+SUM($W56:X56))*(Q$11*Q56)</f>
        <v>551.446594420332</v>
      </c>
      <c r="Z56" s="159">
        <f>($L56+SUM($W56:Y56))*(R$11*R56)</f>
        <v>556.3114109519305</v>
      </c>
      <c r="AA56" s="159">
        <f>($L56+SUM($W56:Z56))*(S$11*S56)</f>
        <v>549.0187283104462</v>
      </c>
      <c r="AB56" s="159">
        <f>($L56+SUM($W56:AA56))*(T$11*T56)</f>
        <v>559.9096888676305</v>
      </c>
      <c r="AC56" s="159">
        <f>($L56+SUM($W56:AB56))*(U$11*U56)</f>
        <v>0</v>
      </c>
      <c r="AD56" s="159">
        <f>($L56+SUM($W56:AC56))*(V$11*V56)</f>
        <v>0</v>
      </c>
      <c r="AE56" s="109">
        <f aca="true" t="shared" si="58" ref="AE56:AE61">SUM(W56:AD56)</f>
        <v>2987.164237277434</v>
      </c>
    </row>
    <row r="57" spans="1:31" ht="12.75">
      <c r="A57" s="3">
        <v>2</v>
      </c>
      <c r="B57" s="15">
        <f t="shared" si="15"/>
        <v>42401</v>
      </c>
      <c r="C57" s="243">
        <f t="shared" si="56"/>
        <v>42432</v>
      </c>
      <c r="D57" s="243">
        <f t="shared" si="56"/>
        <v>42447</v>
      </c>
      <c r="E57" s="70" t="s">
        <v>137</v>
      </c>
      <c r="F57" s="3">
        <v>9</v>
      </c>
      <c r="G57" s="362">
        <v>634</v>
      </c>
      <c r="H57" s="246">
        <f t="shared" si="57"/>
        <v>1566.72</v>
      </c>
      <c r="I57" s="246">
        <f t="shared" si="16"/>
        <v>1652.23</v>
      </c>
      <c r="J57" s="56">
        <f t="shared" si="8"/>
        <v>1047513.8200000001</v>
      </c>
      <c r="K57" s="57">
        <f t="shared" si="32"/>
        <v>993300.48</v>
      </c>
      <c r="L57" s="58">
        <f t="shared" si="34"/>
        <v>54213.340000000084</v>
      </c>
      <c r="M57" s="55">
        <f t="shared" si="37"/>
        <v>2476.8749830095935</v>
      </c>
      <c r="N57" s="29">
        <f t="shared" si="35"/>
        <v>56690.214983009675</v>
      </c>
      <c r="O57" s="16">
        <f t="shared" si="26"/>
        <v>14</v>
      </c>
      <c r="P57" s="16">
        <f t="shared" si="27"/>
        <v>91</v>
      </c>
      <c r="Q57" s="16">
        <f t="shared" si="28"/>
        <v>92</v>
      </c>
      <c r="R57" s="16">
        <f t="shared" si="29"/>
        <v>92</v>
      </c>
      <c r="S57" s="16">
        <f t="shared" si="29"/>
        <v>90</v>
      </c>
      <c r="T57" s="16">
        <f t="shared" si="29"/>
        <v>91</v>
      </c>
      <c r="U57" s="16">
        <f t="shared" si="29"/>
        <v>0</v>
      </c>
      <c r="V57" s="106">
        <f t="shared" si="17"/>
        <v>0</v>
      </c>
      <c r="W57" s="141">
        <f aca="true" t="shared" si="59" ref="W57:W67">$L57*O$11*O57</f>
        <v>67.58101287671242</v>
      </c>
      <c r="X57" s="63">
        <f>($L57+SUM($W57:W57))*(P$11*P57)</f>
        <v>467.79248157279864</v>
      </c>
      <c r="Y57" s="63">
        <f>($L57+SUM($W57:X57))*(Q$11*Q57)</f>
        <v>482.98865055377456</v>
      </c>
      <c r="Z57" s="63">
        <f>($L57+SUM($W57:Y57))*(R$11*R57)</f>
        <v>487.2495367312627</v>
      </c>
      <c r="AA57" s="63">
        <f>($L57+SUM($W57:Z57))*(S$11*S57)</f>
        <v>480.862185746477</v>
      </c>
      <c r="AB57" s="63">
        <f>($L57+SUM($W57:AA57))*(T$11*T57)</f>
        <v>490.4011155285681</v>
      </c>
      <c r="AC57" s="63">
        <f>($L57+SUM($W57:AB57))*(U$11*U57)</f>
        <v>0</v>
      </c>
      <c r="AD57" s="63">
        <f>($L57+SUM($W57:AC57))*(V$11*V57)</f>
        <v>0</v>
      </c>
      <c r="AE57" s="110">
        <f t="shared" si="58"/>
        <v>2476.8749830095935</v>
      </c>
    </row>
    <row r="58" spans="1:31" ht="12.75">
      <c r="A58" s="3">
        <v>3</v>
      </c>
      <c r="B58" s="15">
        <f t="shared" si="15"/>
        <v>42430</v>
      </c>
      <c r="C58" s="243">
        <f t="shared" si="56"/>
        <v>42465</v>
      </c>
      <c r="D58" s="243">
        <f t="shared" si="56"/>
        <v>42480</v>
      </c>
      <c r="E58" s="70" t="s">
        <v>137</v>
      </c>
      <c r="F58" s="3">
        <v>9</v>
      </c>
      <c r="G58" s="362">
        <v>561</v>
      </c>
      <c r="H58" s="246">
        <f t="shared" si="57"/>
        <v>1566.72</v>
      </c>
      <c r="I58" s="246">
        <f t="shared" si="16"/>
        <v>1652.23</v>
      </c>
      <c r="J58" s="56">
        <f t="shared" si="8"/>
        <v>926901.03</v>
      </c>
      <c r="K58" s="57">
        <f t="shared" si="32"/>
        <v>878929.92</v>
      </c>
      <c r="L58" s="58">
        <f>+J58-K58</f>
        <v>47971.109999999986</v>
      </c>
      <c r="M58" s="55">
        <f t="shared" si="37"/>
        <v>2039.8505851114542</v>
      </c>
      <c r="N58" s="29">
        <f>SUM(L58:M58)</f>
        <v>50010.96058511144</v>
      </c>
      <c r="O58" s="16">
        <f aca="true" t="shared" si="60" ref="O58:U58">IF($D58&lt;O$8,O$12,IF($D58&lt;P$8,P$8-$D58,0))</f>
        <v>0</v>
      </c>
      <c r="P58" s="16">
        <f t="shared" si="60"/>
        <v>72</v>
      </c>
      <c r="Q58" s="16">
        <f t="shared" si="60"/>
        <v>92</v>
      </c>
      <c r="R58" s="16">
        <f t="shared" si="60"/>
        <v>92</v>
      </c>
      <c r="S58" s="16">
        <f t="shared" si="60"/>
        <v>90</v>
      </c>
      <c r="T58" s="16">
        <f t="shared" si="60"/>
        <v>91</v>
      </c>
      <c r="U58" s="16">
        <f t="shared" si="60"/>
        <v>0</v>
      </c>
      <c r="V58" s="106">
        <f>IF(W$8&lt;V$8,0,IF($D58&lt;V$8,V$12,IF($D58&lt;W$8,W$8-$D58,0)))</f>
        <v>0</v>
      </c>
      <c r="W58" s="141">
        <f>$L58*O$11*O58</f>
        <v>0</v>
      </c>
      <c r="X58" s="63">
        <f>($L58+SUM($W58:W58))*(P$11*P58)</f>
        <v>327.09725635068486</v>
      </c>
      <c r="Y58" s="63">
        <f>($L58+SUM($W58:X58))*(Q$11*Q58)</f>
        <v>426.0828146998608</v>
      </c>
      <c r="Z58" s="63">
        <f>($L58+SUM($W58:Y58))*(R$11*R58)</f>
        <v>429.84168227063765</v>
      </c>
      <c r="AA58" s="63">
        <f>($L58+SUM($W58:Z58))*(S$11*S58)</f>
        <v>424.20689047386765</v>
      </c>
      <c r="AB58" s="63">
        <f>($L58+SUM($W58:AA58))*(T$11*T58)</f>
        <v>432.6219413164033</v>
      </c>
      <c r="AC58" s="63">
        <f>($L58+SUM($W58:AB58))*(U$11*U58)</f>
        <v>0</v>
      </c>
      <c r="AD58" s="63">
        <f>($L58+SUM($W58:AC58))*(V$11*V58)</f>
        <v>0</v>
      </c>
      <c r="AE58" s="110">
        <f t="shared" si="58"/>
        <v>2039.8505851114542</v>
      </c>
    </row>
    <row r="59" spans="1:31" ht="12.75">
      <c r="A59" s="16">
        <v>4</v>
      </c>
      <c r="B59" s="15">
        <f t="shared" si="15"/>
        <v>42461</v>
      </c>
      <c r="C59" s="243">
        <f t="shared" si="56"/>
        <v>42494</v>
      </c>
      <c r="D59" s="243">
        <f t="shared" si="56"/>
        <v>42509</v>
      </c>
      <c r="E59" s="70" t="s">
        <v>137</v>
      </c>
      <c r="F59" s="3">
        <v>9</v>
      </c>
      <c r="G59" s="362">
        <v>479</v>
      </c>
      <c r="H59" s="246">
        <f t="shared" si="57"/>
        <v>1566.72</v>
      </c>
      <c r="I59" s="246">
        <f t="shared" si="16"/>
        <v>1652.23</v>
      </c>
      <c r="J59" s="56">
        <f t="shared" si="8"/>
        <v>791418.17</v>
      </c>
      <c r="K59" s="57">
        <f t="shared" si="32"/>
        <v>750458.88</v>
      </c>
      <c r="L59" s="58">
        <f aca="true" t="shared" si="61" ref="L59:L69">+J59-K59</f>
        <v>40959.29000000004</v>
      </c>
      <c r="M59" s="55">
        <f t="shared" si="37"/>
        <v>1625.211175530465</v>
      </c>
      <c r="N59" s="29">
        <f aca="true" t="shared" si="62" ref="N59:N69">SUM(L59:M59)</f>
        <v>42584.5011755305</v>
      </c>
      <c r="O59" s="16">
        <f t="shared" si="26"/>
        <v>0</v>
      </c>
      <c r="P59" s="16">
        <f t="shared" si="27"/>
        <v>43</v>
      </c>
      <c r="Q59" s="16">
        <f t="shared" si="28"/>
        <v>92</v>
      </c>
      <c r="R59" s="16">
        <f t="shared" si="29"/>
        <v>92</v>
      </c>
      <c r="S59" s="16">
        <f t="shared" si="29"/>
        <v>90</v>
      </c>
      <c r="T59" s="16">
        <f t="shared" si="29"/>
        <v>91</v>
      </c>
      <c r="U59" s="16">
        <f t="shared" si="29"/>
        <v>0</v>
      </c>
      <c r="V59" s="106">
        <f t="shared" si="17"/>
        <v>0</v>
      </c>
      <c r="W59" s="141">
        <f t="shared" si="59"/>
        <v>0</v>
      </c>
      <c r="X59" s="63">
        <f>($L59+SUM($W59:W59))*(P$11*P59)</f>
        <v>166.79595437351614</v>
      </c>
      <c r="Y59" s="63">
        <f>($L59+SUM($W59:X59))*(Q$11*Q59)</f>
        <v>362.81095006324074</v>
      </c>
      <c r="Z59" s="63">
        <f>($L59+SUM($W59:Y59))*(R$11*R59)</f>
        <v>366.01163844462053</v>
      </c>
      <c r="AA59" s="63">
        <f>($L59+SUM($W59:Z59))*(S$11*S59)</f>
        <v>361.21359427418207</v>
      </c>
      <c r="AB59" s="63">
        <f>($L59+SUM($W59:AA59))*(T$11*T59)</f>
        <v>368.3790383749057</v>
      </c>
      <c r="AC59" s="63">
        <f>($L59+SUM($W59:AB59))*(U$11*U59)</f>
        <v>0</v>
      </c>
      <c r="AD59" s="63">
        <f>($L59+SUM($W59:AC59))*(V$11*V59)</f>
        <v>0</v>
      </c>
      <c r="AE59" s="110">
        <f t="shared" si="58"/>
        <v>1625.211175530465</v>
      </c>
    </row>
    <row r="60" spans="1:31" ht="12.75">
      <c r="A60" s="3">
        <v>5</v>
      </c>
      <c r="B60" s="15">
        <f t="shared" si="15"/>
        <v>42491</v>
      </c>
      <c r="C60" s="243">
        <f t="shared" si="56"/>
        <v>42524</v>
      </c>
      <c r="D60" s="243">
        <f t="shared" si="56"/>
        <v>42541</v>
      </c>
      <c r="E60" s="30" t="s">
        <v>137</v>
      </c>
      <c r="F60" s="3">
        <v>9</v>
      </c>
      <c r="G60" s="362">
        <v>555</v>
      </c>
      <c r="H60" s="246">
        <f t="shared" si="57"/>
        <v>1566.72</v>
      </c>
      <c r="I60" s="246">
        <f t="shared" si="16"/>
        <v>1652.23</v>
      </c>
      <c r="J60" s="56">
        <f t="shared" si="8"/>
        <v>916987.65</v>
      </c>
      <c r="K60" s="57">
        <f t="shared" si="32"/>
        <v>869529.6</v>
      </c>
      <c r="L60" s="58">
        <f t="shared" si="61"/>
        <v>47458.05000000005</v>
      </c>
      <c r="M60" s="55">
        <f t="shared" si="37"/>
        <v>1734.1515495969322</v>
      </c>
      <c r="N60" s="29">
        <f t="shared" si="62"/>
        <v>49192.201549596975</v>
      </c>
      <c r="O60" s="16">
        <f t="shared" si="26"/>
        <v>0</v>
      </c>
      <c r="P60" s="16">
        <f t="shared" si="27"/>
        <v>11</v>
      </c>
      <c r="Q60" s="16">
        <f t="shared" si="28"/>
        <v>92</v>
      </c>
      <c r="R60" s="16">
        <f aca="true" t="shared" si="63" ref="R60:U74">IF($D60&lt;R$8,R$12,IF($D60&lt;S$8,S$8-$D60,0))</f>
        <v>92</v>
      </c>
      <c r="S60" s="16">
        <f t="shared" si="63"/>
        <v>90</v>
      </c>
      <c r="T60" s="16">
        <f t="shared" si="63"/>
        <v>91</v>
      </c>
      <c r="U60" s="16">
        <f t="shared" si="63"/>
        <v>0</v>
      </c>
      <c r="V60" s="106">
        <f t="shared" si="17"/>
        <v>0</v>
      </c>
      <c r="W60" s="141">
        <f t="shared" si="59"/>
        <v>0</v>
      </c>
      <c r="X60" s="63">
        <f>($L60+SUM($W60:W60))*(P$11*P60)</f>
        <v>49.438719301369915</v>
      </c>
      <c r="Y60" s="63">
        <f>($L60+SUM($W60:X60))*(Q$11*Q60)</f>
        <v>419.10716075657695</v>
      </c>
      <c r="Z60" s="63">
        <f>($L60+SUM($W60:Y60))*(R$11*R60)</f>
        <v>422.80448968160755</v>
      </c>
      <c r="AA60" s="63">
        <f>($L60+SUM($W60:Z60))*(S$11*S60)</f>
        <v>417.26194839638293</v>
      </c>
      <c r="AB60" s="63">
        <f>($L60+SUM($W60:AA60))*(T$11*T60)</f>
        <v>425.5392314609948</v>
      </c>
      <c r="AC60" s="63">
        <f>($L60+SUM($W60:AB60))*(U$11*U60)</f>
        <v>0</v>
      </c>
      <c r="AD60" s="63">
        <f>($L60+SUM($W60:AC60))*(V$11*V60)</f>
        <v>0</v>
      </c>
      <c r="AE60" s="110">
        <f t="shared" si="58"/>
        <v>1734.1515495969322</v>
      </c>
    </row>
    <row r="61" spans="1:31" ht="12.75">
      <c r="A61" s="3">
        <v>6</v>
      </c>
      <c r="B61" s="15">
        <f t="shared" si="15"/>
        <v>42522</v>
      </c>
      <c r="C61" s="243">
        <f t="shared" si="56"/>
        <v>42557</v>
      </c>
      <c r="D61" s="243">
        <f t="shared" si="56"/>
        <v>42572</v>
      </c>
      <c r="E61" s="30" t="s">
        <v>137</v>
      </c>
      <c r="F61" s="3">
        <v>9</v>
      </c>
      <c r="G61" s="362">
        <v>822</v>
      </c>
      <c r="H61" s="246">
        <f t="shared" si="57"/>
        <v>1566.72</v>
      </c>
      <c r="I61" s="246">
        <f t="shared" si="16"/>
        <v>1652.23</v>
      </c>
      <c r="J61" s="56">
        <f t="shared" si="8"/>
        <v>1358133.06</v>
      </c>
      <c r="K61" s="57">
        <f t="shared" si="32"/>
        <v>1287843.84</v>
      </c>
      <c r="L61" s="77">
        <f t="shared" si="61"/>
        <v>70289.21999999997</v>
      </c>
      <c r="M61" s="78">
        <f t="shared" si="37"/>
        <v>2354.238708358882</v>
      </c>
      <c r="N61" s="76">
        <f t="shared" si="62"/>
        <v>72643.45870835886</v>
      </c>
      <c r="O61" s="16">
        <f t="shared" si="26"/>
        <v>0</v>
      </c>
      <c r="P61" s="16">
        <f t="shared" si="27"/>
        <v>0</v>
      </c>
      <c r="Q61" s="16">
        <f t="shared" si="28"/>
        <v>72</v>
      </c>
      <c r="R61" s="16">
        <f t="shared" si="63"/>
        <v>92</v>
      </c>
      <c r="S61" s="16">
        <f t="shared" si="63"/>
        <v>90</v>
      </c>
      <c r="T61" s="16">
        <f t="shared" si="63"/>
        <v>91</v>
      </c>
      <c r="U61" s="16">
        <f t="shared" si="63"/>
        <v>0</v>
      </c>
      <c r="V61" s="106">
        <f t="shared" si="17"/>
        <v>0</v>
      </c>
      <c r="W61" s="141">
        <f t="shared" si="59"/>
        <v>0</v>
      </c>
      <c r="X61" s="63">
        <f>($L61+SUM($W61:W61))*(P$11*P61)</f>
        <v>0</v>
      </c>
      <c r="Y61" s="63">
        <f>($L61+SUM($W61:X61))*(Q$11*Q61)</f>
        <v>485.28447780821904</v>
      </c>
      <c r="Z61" s="63">
        <f>($L61+SUM($W61:Y61))*(R$11*R61)</f>
        <v>624.3668614206641</v>
      </c>
      <c r="AA61" s="63">
        <f>($L61+SUM($W61:Z61))*(S$11*S61)</f>
        <v>616.1820403248518</v>
      </c>
      <c r="AB61" s="63">
        <f>($L61+SUM($W61:AA61))*(T$11*T61)</f>
        <v>628.4053288051467</v>
      </c>
      <c r="AC61" s="63">
        <f>($L61+SUM($W61:AB61))*(U$11*U61)</f>
        <v>0</v>
      </c>
      <c r="AD61" s="63">
        <f>($L61+SUM($W61:AC61))*(V$11*V61)</f>
        <v>0</v>
      </c>
      <c r="AE61" s="110">
        <f t="shared" si="58"/>
        <v>2354.238708358882</v>
      </c>
    </row>
    <row r="62" spans="1:31" ht="12.75">
      <c r="A62" s="16">
        <v>7</v>
      </c>
      <c r="B62" s="15">
        <f t="shared" si="15"/>
        <v>42552</v>
      </c>
      <c r="C62" s="243">
        <f t="shared" si="56"/>
        <v>42585</v>
      </c>
      <c r="D62" s="243">
        <f t="shared" si="56"/>
        <v>42600</v>
      </c>
      <c r="E62" s="30" t="s">
        <v>137</v>
      </c>
      <c r="F62" s="3">
        <v>9</v>
      </c>
      <c r="G62" s="362">
        <v>868</v>
      </c>
      <c r="H62" s="246">
        <f aca="true" t="shared" si="64" ref="H62:H67">$K$8</f>
        <v>1623.7</v>
      </c>
      <c r="I62" s="246">
        <f t="shared" si="16"/>
        <v>1652.23</v>
      </c>
      <c r="J62" s="56">
        <f t="shared" si="8"/>
        <v>1434135.6400000001</v>
      </c>
      <c r="K62" s="74">
        <f t="shared" si="32"/>
        <v>1409371.6</v>
      </c>
      <c r="L62" s="77">
        <f t="shared" si="61"/>
        <v>24764.040000000037</v>
      </c>
      <c r="M62" s="75">
        <f t="shared" si="37"/>
        <v>761.1911834382731</v>
      </c>
      <c r="N62" s="76">
        <f t="shared" si="62"/>
        <v>25525.23118343831</v>
      </c>
      <c r="O62" s="16">
        <f t="shared" si="26"/>
        <v>0</v>
      </c>
      <c r="P62" s="16">
        <f t="shared" si="27"/>
        <v>0</v>
      </c>
      <c r="Q62" s="16">
        <f t="shared" si="28"/>
        <v>44</v>
      </c>
      <c r="R62" s="16">
        <f t="shared" si="63"/>
        <v>92</v>
      </c>
      <c r="S62" s="16">
        <f t="shared" si="63"/>
        <v>90</v>
      </c>
      <c r="T62" s="16">
        <f t="shared" si="63"/>
        <v>91</v>
      </c>
      <c r="U62" s="16">
        <f t="shared" si="63"/>
        <v>0</v>
      </c>
      <c r="V62" s="106">
        <f t="shared" si="17"/>
        <v>0</v>
      </c>
      <c r="W62" s="141">
        <f t="shared" si="59"/>
        <v>0</v>
      </c>
      <c r="X62" s="63">
        <f>($L62+SUM($W62:W62))*(P$11*P62)</f>
        <v>0</v>
      </c>
      <c r="Y62" s="63">
        <f>($L62+SUM($W62:X62))*(Q$11*Q62)</f>
        <v>104.48389479452072</v>
      </c>
      <c r="Z62" s="63">
        <f>($L62+SUM($W62:Y62))*(R$11*R62)</f>
        <v>219.3880738116123</v>
      </c>
      <c r="AA62" s="63">
        <f>($L62+SUM($W62:Z62))*(S$11*S62)</f>
        <v>216.51211698934094</v>
      </c>
      <c r="AB62" s="63">
        <f>($L62+SUM($W62:AA62))*(T$11*T62)</f>
        <v>220.80709784279918</v>
      </c>
      <c r="AC62" s="63">
        <f>($L62+SUM($W62:AB62))*(U$11*U62)</f>
        <v>0</v>
      </c>
      <c r="AD62" s="63">
        <f>($L62+SUM($W62:AC62))*(V$11*V62)</f>
        <v>0</v>
      </c>
      <c r="AE62" s="110">
        <f aca="true" t="shared" si="65" ref="AE62:AE67">SUM(W62:AD62)</f>
        <v>761.1911834382731</v>
      </c>
    </row>
    <row r="63" spans="1:31" ht="12.75">
      <c r="A63" s="3">
        <v>8</v>
      </c>
      <c r="B63" s="15">
        <f t="shared" si="15"/>
        <v>42583</v>
      </c>
      <c r="C63" s="243">
        <f t="shared" si="56"/>
        <v>42619</v>
      </c>
      <c r="D63" s="243">
        <f t="shared" si="56"/>
        <v>42634</v>
      </c>
      <c r="E63" s="30" t="s">
        <v>137</v>
      </c>
      <c r="F63" s="3">
        <v>9</v>
      </c>
      <c r="G63" s="362">
        <v>873</v>
      </c>
      <c r="H63" s="246">
        <f t="shared" si="64"/>
        <v>1623.7</v>
      </c>
      <c r="I63" s="246">
        <f t="shared" si="16"/>
        <v>1652.23</v>
      </c>
      <c r="J63" s="56">
        <f t="shared" si="8"/>
        <v>1442396.79</v>
      </c>
      <c r="K63" s="74">
        <f t="shared" si="32"/>
        <v>1417490.1</v>
      </c>
      <c r="L63" s="77">
        <f t="shared" si="61"/>
        <v>24906.689999999944</v>
      </c>
      <c r="M63" s="75">
        <f t="shared" si="37"/>
        <v>682.2289605512253</v>
      </c>
      <c r="N63" s="76">
        <f t="shared" si="62"/>
        <v>25588.91896055117</v>
      </c>
      <c r="O63" s="16">
        <f t="shared" si="26"/>
        <v>0</v>
      </c>
      <c r="P63" s="16">
        <f t="shared" si="27"/>
        <v>0</v>
      </c>
      <c r="Q63" s="16">
        <f t="shared" si="28"/>
        <v>10</v>
      </c>
      <c r="R63" s="16">
        <f t="shared" si="63"/>
        <v>92</v>
      </c>
      <c r="S63" s="16">
        <f t="shared" si="63"/>
        <v>90</v>
      </c>
      <c r="T63" s="16">
        <f t="shared" si="63"/>
        <v>91</v>
      </c>
      <c r="U63" s="16">
        <f t="shared" si="63"/>
        <v>0</v>
      </c>
      <c r="V63" s="106">
        <f t="shared" si="17"/>
        <v>0</v>
      </c>
      <c r="W63" s="141">
        <f t="shared" si="59"/>
        <v>0</v>
      </c>
      <c r="X63" s="63">
        <f>($L63+SUM($W63:W63))*(P$11*P63)</f>
        <v>0</v>
      </c>
      <c r="Y63" s="63">
        <f>($L63+SUM($W63:X63))*(Q$11*Q63)</f>
        <v>23.88312739726022</v>
      </c>
      <c r="Z63" s="63">
        <f>($L63+SUM($W63:Y63))*(R$11*R63)</f>
        <v>219.93546704169592</v>
      </c>
      <c r="AA63" s="63">
        <f>($L63+SUM($W63:Z63))*(S$11*S63)</f>
        <v>217.05233444515764</v>
      </c>
      <c r="AB63" s="63">
        <f>($L63+SUM($W63:AA63))*(T$11*T63)</f>
        <v>221.35803166711156</v>
      </c>
      <c r="AC63" s="63">
        <f>($L63+SUM($W63:AB63))*(U$11*U63)</f>
        <v>0</v>
      </c>
      <c r="AD63" s="63">
        <f>($L63+SUM($W63:AC63))*(V$11*V63)</f>
        <v>0</v>
      </c>
      <c r="AE63" s="110">
        <f t="shared" si="65"/>
        <v>682.2289605512253</v>
      </c>
    </row>
    <row r="64" spans="1:31" ht="12.75">
      <c r="A64" s="3">
        <v>9</v>
      </c>
      <c r="B64" s="15">
        <f t="shared" si="15"/>
        <v>42614</v>
      </c>
      <c r="C64" s="243">
        <f t="shared" si="56"/>
        <v>42648</v>
      </c>
      <c r="D64" s="243">
        <f t="shared" si="56"/>
        <v>42663</v>
      </c>
      <c r="E64" s="30" t="s">
        <v>137</v>
      </c>
      <c r="F64" s="3">
        <v>9</v>
      </c>
      <c r="G64" s="362">
        <v>772</v>
      </c>
      <c r="H64" s="246">
        <f t="shared" si="64"/>
        <v>1623.7</v>
      </c>
      <c r="I64" s="246">
        <f aca="true" t="shared" si="66" ref="I64:I95">$J$3</f>
        <v>1652.23</v>
      </c>
      <c r="J64" s="56">
        <f t="shared" si="8"/>
        <v>1275521.56</v>
      </c>
      <c r="K64" s="74">
        <f t="shared" si="32"/>
        <v>1253496.4000000001</v>
      </c>
      <c r="L64" s="77">
        <f t="shared" si="61"/>
        <v>22025.159999999916</v>
      </c>
      <c r="M64" s="75">
        <f t="shared" si="37"/>
        <v>540.79457870768</v>
      </c>
      <c r="N64" s="76">
        <f t="shared" si="62"/>
        <v>22565.954578707595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63"/>
        <v>73</v>
      </c>
      <c r="S64" s="16">
        <f t="shared" si="63"/>
        <v>90</v>
      </c>
      <c r="T64" s="16">
        <f t="shared" si="63"/>
        <v>91</v>
      </c>
      <c r="U64" s="16">
        <f t="shared" si="63"/>
        <v>0</v>
      </c>
      <c r="V64" s="106">
        <f t="shared" si="17"/>
        <v>0</v>
      </c>
      <c r="W64" s="141">
        <f t="shared" si="59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154.17611999999943</v>
      </c>
      <c r="AA64" s="63">
        <f>($L64+SUM($W64:Z64))*(S$11*S64)</f>
        <v>191.4107089808212</v>
      </c>
      <c r="AB64" s="63">
        <f>($L64+SUM($W64:AA64))*(T$11*T64)</f>
        <v>195.2077497268593</v>
      </c>
      <c r="AC64" s="63">
        <f>($L64+SUM($W64:AB64))*(U$11*U64)</f>
        <v>0</v>
      </c>
      <c r="AD64" s="63">
        <f>($L64+SUM($W64:AC64))*(V$11*V64)</f>
        <v>0</v>
      </c>
      <c r="AE64" s="110">
        <f t="shared" si="65"/>
        <v>540.79457870768</v>
      </c>
    </row>
    <row r="65" spans="1:31" ht="12.75">
      <c r="A65" s="16">
        <v>10</v>
      </c>
      <c r="B65" s="15">
        <f t="shared" si="15"/>
        <v>42644</v>
      </c>
      <c r="C65" s="243">
        <f t="shared" si="56"/>
        <v>42677</v>
      </c>
      <c r="D65" s="243">
        <f t="shared" si="56"/>
        <v>42692</v>
      </c>
      <c r="E65" s="30" t="s">
        <v>137</v>
      </c>
      <c r="F65" s="3">
        <v>9</v>
      </c>
      <c r="G65" s="362">
        <v>626</v>
      </c>
      <c r="H65" s="246">
        <f t="shared" si="64"/>
        <v>1623.7</v>
      </c>
      <c r="I65" s="246">
        <f t="shared" si="66"/>
        <v>1652.23</v>
      </c>
      <c r="J65" s="56">
        <f t="shared" si="8"/>
        <v>1034295.98</v>
      </c>
      <c r="K65" s="74">
        <f t="shared" si="32"/>
        <v>1016436.2000000001</v>
      </c>
      <c r="L65" s="77">
        <f t="shared" si="61"/>
        <v>17859.77999999991</v>
      </c>
      <c r="M65" s="75">
        <f t="shared" si="37"/>
        <v>387.9893569281305</v>
      </c>
      <c r="N65" s="76">
        <f t="shared" si="62"/>
        <v>18247.76935692804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63"/>
        <v>44</v>
      </c>
      <c r="S65" s="16">
        <f t="shared" si="63"/>
        <v>90</v>
      </c>
      <c r="T65" s="16">
        <f t="shared" si="63"/>
        <v>91</v>
      </c>
      <c r="U65" s="16">
        <f t="shared" si="63"/>
        <v>0</v>
      </c>
      <c r="V65" s="106">
        <f t="shared" si="17"/>
        <v>0</v>
      </c>
      <c r="W65" s="141">
        <f t="shared" si="59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75.35359232876677</v>
      </c>
      <c r="AA65" s="63">
        <f>($L65+SUM($W65:Z65))*(S$11*S65)</f>
        <v>154.7826597694119</v>
      </c>
      <c r="AB65" s="63">
        <f>($L65+SUM($W65:AA65))*(T$11*T65)</f>
        <v>157.85310482995183</v>
      </c>
      <c r="AC65" s="63">
        <f>($L65+SUM($W65:AB65))*(U$11*U65)</f>
        <v>0</v>
      </c>
      <c r="AD65" s="63">
        <f>($L65+SUM($W65:AC65))*(V$11*V65)</f>
        <v>0</v>
      </c>
      <c r="AE65" s="110">
        <f t="shared" si="65"/>
        <v>387.9893569281305</v>
      </c>
    </row>
    <row r="66" spans="1:31" ht="12.75">
      <c r="A66" s="3">
        <v>11</v>
      </c>
      <c r="B66" s="15">
        <f t="shared" si="15"/>
        <v>42675</v>
      </c>
      <c r="C66" s="243">
        <f t="shared" si="56"/>
        <v>42709</v>
      </c>
      <c r="D66" s="243">
        <f t="shared" si="56"/>
        <v>42724</v>
      </c>
      <c r="E66" s="30" t="s">
        <v>137</v>
      </c>
      <c r="F66" s="3">
        <v>9</v>
      </c>
      <c r="G66" s="362">
        <v>494</v>
      </c>
      <c r="H66" s="246">
        <f t="shared" si="64"/>
        <v>1623.7</v>
      </c>
      <c r="I66" s="246">
        <f t="shared" si="66"/>
        <v>1652.23</v>
      </c>
      <c r="J66" s="56">
        <f t="shared" si="8"/>
        <v>816201.62</v>
      </c>
      <c r="K66" s="74">
        <f t="shared" si="32"/>
        <v>802107.8</v>
      </c>
      <c r="L66" s="77">
        <f t="shared" si="61"/>
        <v>14093.819999999949</v>
      </c>
      <c r="M66" s="75">
        <f t="shared" si="37"/>
        <v>262.1762593549749</v>
      </c>
      <c r="N66" s="76">
        <f t="shared" si="62"/>
        <v>14355.996259354924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63"/>
        <v>12</v>
      </c>
      <c r="S66" s="16">
        <f t="shared" si="63"/>
        <v>90</v>
      </c>
      <c r="T66" s="16">
        <f t="shared" si="63"/>
        <v>91</v>
      </c>
      <c r="U66" s="16">
        <f t="shared" si="63"/>
        <v>0</v>
      </c>
      <c r="V66" s="106">
        <f t="shared" si="17"/>
        <v>0</v>
      </c>
      <c r="W66" s="141">
        <f t="shared" si="59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16.217546301369804</v>
      </c>
      <c r="AA66" s="63">
        <f>($L66+SUM($W66:Z66))*(S$11*S66)</f>
        <v>121.77155690643605</v>
      </c>
      <c r="AB66" s="63">
        <f>($L66+SUM($W66:AA66))*(T$11*T66)</f>
        <v>124.18715614716905</v>
      </c>
      <c r="AC66" s="63">
        <f>($L66+SUM($W66:AB66))*(U$11*U66)</f>
        <v>0</v>
      </c>
      <c r="AD66" s="63">
        <f>($L66+SUM($W66:AC66))*(V$11*V66)</f>
        <v>0</v>
      </c>
      <c r="AE66" s="110">
        <f t="shared" si="65"/>
        <v>262.1762593549749</v>
      </c>
    </row>
    <row r="67" spans="1:31" s="69" customFormat="1" ht="12.75">
      <c r="A67" s="3">
        <v>12</v>
      </c>
      <c r="B67" s="83">
        <f t="shared" si="15"/>
        <v>42705</v>
      </c>
      <c r="C67" s="243">
        <f t="shared" si="56"/>
        <v>42740</v>
      </c>
      <c r="D67" s="243">
        <f t="shared" si="56"/>
        <v>42755</v>
      </c>
      <c r="E67" s="84" t="s">
        <v>137</v>
      </c>
      <c r="F67" s="81">
        <v>9</v>
      </c>
      <c r="G67" s="363">
        <v>832</v>
      </c>
      <c r="H67" s="247">
        <f t="shared" si="64"/>
        <v>1623.7</v>
      </c>
      <c r="I67" s="247">
        <f t="shared" si="66"/>
        <v>1652.23</v>
      </c>
      <c r="J67" s="85">
        <f t="shared" si="8"/>
        <v>1374655.36</v>
      </c>
      <c r="K67" s="86">
        <f t="shared" si="32"/>
        <v>1350918.4000000001</v>
      </c>
      <c r="L67" s="87">
        <f t="shared" si="61"/>
        <v>23736.959999999963</v>
      </c>
      <c r="M67" s="88">
        <f t="shared" si="37"/>
        <v>370.1459716925196</v>
      </c>
      <c r="N67" s="89">
        <f t="shared" si="62"/>
        <v>24107.105971692483</v>
      </c>
      <c r="O67" s="81">
        <f t="shared" si="26"/>
        <v>0</v>
      </c>
      <c r="P67" s="81">
        <f t="shared" si="27"/>
        <v>0</v>
      </c>
      <c r="Q67" s="81">
        <f t="shared" si="28"/>
        <v>0</v>
      </c>
      <c r="R67" s="81">
        <f t="shared" si="63"/>
        <v>0</v>
      </c>
      <c r="S67" s="81">
        <f t="shared" si="63"/>
        <v>71</v>
      </c>
      <c r="T67" s="81">
        <f t="shared" si="63"/>
        <v>91</v>
      </c>
      <c r="U67" s="81">
        <f t="shared" si="63"/>
        <v>0</v>
      </c>
      <c r="V67" s="107">
        <f t="shared" si="17"/>
        <v>0</v>
      </c>
      <c r="W67" s="142">
        <f t="shared" si="59"/>
        <v>0</v>
      </c>
      <c r="X67" s="90">
        <f>($L67+SUM($W67:W67))*(P$11*P67)</f>
        <v>0</v>
      </c>
      <c r="Y67" s="90">
        <f>($L67+SUM($W67:X67))*(Q$11*Q67)</f>
        <v>0</v>
      </c>
      <c r="Z67" s="90">
        <f>($L67+SUM($W67:Y67))*(R$11*R67)</f>
        <v>0</v>
      </c>
      <c r="AA67" s="90">
        <f>($L67+SUM($W67:Z67))*(S$11*S67)</f>
        <v>161.60642630136962</v>
      </c>
      <c r="AB67" s="90">
        <f>($L67+SUM($W67:AA67))*(T$11*T67)</f>
        <v>208.53954539114997</v>
      </c>
      <c r="AC67" s="90">
        <f>($L67+SUM($W67:AB67))*(U$11*U67)</f>
        <v>0</v>
      </c>
      <c r="AD67" s="90">
        <f>($L67+SUM($W67:AC67))*(V$11*V67)</f>
        <v>0</v>
      </c>
      <c r="AE67" s="111">
        <f t="shared" si="65"/>
        <v>370.1459716925196</v>
      </c>
    </row>
    <row r="68" spans="1:31" s="13" customFormat="1" ht="12.75" customHeight="1">
      <c r="A68" s="16">
        <v>1</v>
      </c>
      <c r="B68" s="15">
        <f t="shared" si="15"/>
        <v>42370</v>
      </c>
      <c r="C68" s="242">
        <f aca="true" t="shared" si="67" ref="C68:D83">+C56</f>
        <v>42403</v>
      </c>
      <c r="D68" s="242">
        <f t="shared" si="67"/>
        <v>42418</v>
      </c>
      <c r="E68" s="118" t="s">
        <v>118</v>
      </c>
      <c r="F68" s="16">
        <v>9</v>
      </c>
      <c r="G68" s="362">
        <v>36</v>
      </c>
      <c r="H68" s="246">
        <f aca="true" t="shared" si="68" ref="H68:H73">$K$3</f>
        <v>1566.72</v>
      </c>
      <c r="I68" s="246">
        <f t="shared" si="66"/>
        <v>1652.23</v>
      </c>
      <c r="J68" s="56">
        <f t="shared" si="8"/>
        <v>59480.28</v>
      </c>
      <c r="K68" s="57">
        <f t="shared" si="32"/>
        <v>56401.92</v>
      </c>
      <c r="L68" s="58">
        <f t="shared" si="61"/>
        <v>3078.3600000000006</v>
      </c>
      <c r="M68" s="55">
        <f t="shared" si="37"/>
        <v>148.94447720496913</v>
      </c>
      <c r="N68" s="29">
        <f t="shared" si="62"/>
        <v>3227.3044772049698</v>
      </c>
      <c r="O68" s="16">
        <f t="shared" si="26"/>
        <v>43</v>
      </c>
      <c r="P68" s="16">
        <f t="shared" si="27"/>
        <v>91</v>
      </c>
      <c r="Q68" s="16">
        <f t="shared" si="28"/>
        <v>92</v>
      </c>
      <c r="R68" s="16">
        <f t="shared" si="63"/>
        <v>92</v>
      </c>
      <c r="S68" s="16">
        <f t="shared" si="63"/>
        <v>90</v>
      </c>
      <c r="T68" s="16">
        <f t="shared" si="63"/>
        <v>91</v>
      </c>
      <c r="U68" s="16">
        <f t="shared" si="63"/>
        <v>0</v>
      </c>
      <c r="V68" s="106">
        <f>IF(W$8&lt;V$8,0,IF($D68&lt;V$8,V$12,IF($D68&lt;W$8,W$8-$D68,0)))</f>
        <v>0</v>
      </c>
      <c r="W68" s="141">
        <f>$L68*O$11*O68</f>
        <v>11.786323561643838</v>
      </c>
      <c r="X68" s="63">
        <f>($L68+SUM($W68:W68))*(P$11*P68)</f>
        <v>26.630852795939884</v>
      </c>
      <c r="Y68" s="63">
        <f>($L68+SUM($W68:X68))*(Q$11*Q68)</f>
        <v>27.495952076360062</v>
      </c>
      <c r="Z68" s="63">
        <f>($L68+SUM($W68:Y68))*(R$11*R68)</f>
        <v>27.738519105636446</v>
      </c>
      <c r="AA68" s="63">
        <f>($L68+SUM($W68:Z68))*(S$11*S68)</f>
        <v>27.37489504041008</v>
      </c>
      <c r="AB68" s="63">
        <f>($L68+SUM($W68:AA68))*(T$11*T68)</f>
        <v>27.917934624978823</v>
      </c>
      <c r="AC68" s="63">
        <f>($L68+SUM($W68:AB68))*(U$11*U68)</f>
        <v>0</v>
      </c>
      <c r="AD68" s="63">
        <f>($L68+SUM($W68:AC68))*(V$11*V68)</f>
        <v>0</v>
      </c>
      <c r="AE68" s="110">
        <f aca="true" t="shared" si="69" ref="AE68:AE73">SUM(W68:AD68)</f>
        <v>148.94447720496913</v>
      </c>
    </row>
    <row r="69" spans="1:31" ht="12.75">
      <c r="A69" s="3">
        <v>2</v>
      </c>
      <c r="B69" s="15">
        <f t="shared" si="15"/>
        <v>42401</v>
      </c>
      <c r="C69" s="243">
        <f t="shared" si="67"/>
        <v>42432</v>
      </c>
      <c r="D69" s="243">
        <f t="shared" si="67"/>
        <v>42447</v>
      </c>
      <c r="E69" s="70" t="s">
        <v>118</v>
      </c>
      <c r="F69" s="3">
        <v>9</v>
      </c>
      <c r="G69" s="362">
        <v>34</v>
      </c>
      <c r="H69" s="246">
        <f t="shared" si="68"/>
        <v>1566.72</v>
      </c>
      <c r="I69" s="246">
        <f t="shared" si="66"/>
        <v>1652.23</v>
      </c>
      <c r="J69" s="56">
        <f t="shared" si="8"/>
        <v>56175.82</v>
      </c>
      <c r="K69" s="57">
        <f t="shared" si="32"/>
        <v>53268.48</v>
      </c>
      <c r="L69" s="58">
        <f t="shared" si="61"/>
        <v>2907.3399999999965</v>
      </c>
      <c r="M69" s="55">
        <f t="shared" si="37"/>
        <v>132.82925776392105</v>
      </c>
      <c r="N69" s="29">
        <f t="shared" si="62"/>
        <v>3040.1692577639174</v>
      </c>
      <c r="O69" s="16">
        <f t="shared" si="26"/>
        <v>14</v>
      </c>
      <c r="P69" s="16">
        <f t="shared" si="27"/>
        <v>91</v>
      </c>
      <c r="Q69" s="16">
        <f t="shared" si="28"/>
        <v>92</v>
      </c>
      <c r="R69" s="16">
        <f t="shared" si="63"/>
        <v>92</v>
      </c>
      <c r="S69" s="16">
        <f t="shared" si="63"/>
        <v>90</v>
      </c>
      <c r="T69" s="16">
        <f t="shared" si="63"/>
        <v>91</v>
      </c>
      <c r="U69" s="16">
        <f t="shared" si="63"/>
        <v>0</v>
      </c>
      <c r="V69" s="106">
        <f t="shared" si="17"/>
        <v>0</v>
      </c>
      <c r="W69" s="141">
        <f aca="true" t="shared" si="70" ref="W69:W79">$L69*O$11*O69</f>
        <v>3.6242183561643793</v>
      </c>
      <c r="X69" s="63">
        <f>($L69+SUM($W69:W69))*(P$11*P69)</f>
        <v>25.086663049645285</v>
      </c>
      <c r="Y69" s="63">
        <f>($L69+SUM($W69:X69))*(Q$11*Q69)</f>
        <v>25.9015995565115</v>
      </c>
      <c r="Z69" s="63">
        <f>($L69+SUM($W69:Y69))*(R$11*R69)</f>
        <v>26.13010133890045</v>
      </c>
      <c r="AA69" s="63">
        <f>($L69+SUM($W69:Z69))*(S$11*S69)</f>
        <v>25.787562011640652</v>
      </c>
      <c r="AB69" s="63">
        <f>($L69+SUM($W69:AA69))*(T$11*T69)</f>
        <v>26.299113451058783</v>
      </c>
      <c r="AC69" s="63">
        <f>($L69+SUM($W69:AB69))*(U$11*U69)</f>
        <v>0</v>
      </c>
      <c r="AD69" s="63">
        <f>($L69+SUM($W69:AC69))*(V$11*V69)</f>
        <v>0</v>
      </c>
      <c r="AE69" s="110">
        <f t="shared" si="69"/>
        <v>132.82925776392105</v>
      </c>
    </row>
    <row r="70" spans="1:31" ht="12.75">
      <c r="A70" s="3">
        <v>3</v>
      </c>
      <c r="B70" s="15">
        <f t="shared" si="15"/>
        <v>42430</v>
      </c>
      <c r="C70" s="243">
        <f t="shared" si="67"/>
        <v>42465</v>
      </c>
      <c r="D70" s="243">
        <f t="shared" si="67"/>
        <v>42480</v>
      </c>
      <c r="E70" s="70" t="s">
        <v>118</v>
      </c>
      <c r="F70" s="3">
        <v>9</v>
      </c>
      <c r="G70" s="362">
        <v>31</v>
      </c>
      <c r="H70" s="246">
        <f t="shared" si="68"/>
        <v>1566.72</v>
      </c>
      <c r="I70" s="246">
        <f t="shared" si="66"/>
        <v>1652.23</v>
      </c>
      <c r="J70" s="56">
        <f t="shared" si="8"/>
        <v>51219.13</v>
      </c>
      <c r="K70" s="57">
        <f t="shared" si="32"/>
        <v>48568.32</v>
      </c>
      <c r="L70" s="58">
        <f>+J70-K70</f>
        <v>2650.8099999999977</v>
      </c>
      <c r="M70" s="55">
        <f t="shared" si="37"/>
        <v>112.71901628958119</v>
      </c>
      <c r="N70" s="29">
        <f>SUM(L70:M70)</f>
        <v>2763.529016289579</v>
      </c>
      <c r="O70" s="16">
        <f t="shared" si="26"/>
        <v>0</v>
      </c>
      <c r="P70" s="16">
        <f t="shared" si="27"/>
        <v>72</v>
      </c>
      <c r="Q70" s="16">
        <f t="shared" si="28"/>
        <v>92</v>
      </c>
      <c r="R70" s="16">
        <f t="shared" si="63"/>
        <v>92</v>
      </c>
      <c r="S70" s="16">
        <f t="shared" si="63"/>
        <v>90</v>
      </c>
      <c r="T70" s="16">
        <f t="shared" si="63"/>
        <v>91</v>
      </c>
      <c r="U70" s="16">
        <f t="shared" si="63"/>
        <v>0</v>
      </c>
      <c r="V70" s="106">
        <f t="shared" si="17"/>
        <v>0</v>
      </c>
      <c r="W70" s="141">
        <f t="shared" si="70"/>
        <v>0</v>
      </c>
      <c r="X70" s="63">
        <f>($L70+SUM($W70:W70))*(P$11*P70)</f>
        <v>18.07489295342464</v>
      </c>
      <c r="Y70" s="63">
        <f>($L70+SUM($W70:X70))*(Q$11*Q70)</f>
        <v>23.544683165232936</v>
      </c>
      <c r="Z70" s="63">
        <f>($L70+SUM($W70:Y70))*(R$11*R70)</f>
        <v>23.75239242493718</v>
      </c>
      <c r="AA70" s="63">
        <f>($L70+SUM($W70:Z70))*(S$11*S70)</f>
        <v>23.441022468252925</v>
      </c>
      <c r="AB70" s="63">
        <f>($L70+SUM($W70:AA70))*(T$11*T70)</f>
        <v>23.9060252777335</v>
      </c>
      <c r="AC70" s="63">
        <f>($L70+SUM($W70:AB70))*(U$11*U70)</f>
        <v>0</v>
      </c>
      <c r="AD70" s="63">
        <f>($L70+SUM($W70:AC70))*(V$11*V70)</f>
        <v>0</v>
      </c>
      <c r="AE70" s="110">
        <f t="shared" si="69"/>
        <v>112.71901628958119</v>
      </c>
    </row>
    <row r="71" spans="1:31" ht="12" customHeight="1">
      <c r="A71" s="16">
        <v>4</v>
      </c>
      <c r="B71" s="15">
        <f t="shared" si="15"/>
        <v>42461</v>
      </c>
      <c r="C71" s="243">
        <f t="shared" si="67"/>
        <v>42494</v>
      </c>
      <c r="D71" s="243">
        <f t="shared" si="67"/>
        <v>42509</v>
      </c>
      <c r="E71" s="30" t="s">
        <v>118</v>
      </c>
      <c r="F71" s="3">
        <v>9</v>
      </c>
      <c r="G71" s="362">
        <v>29</v>
      </c>
      <c r="H71" s="246">
        <f t="shared" si="68"/>
        <v>1566.72</v>
      </c>
      <c r="I71" s="246">
        <f t="shared" si="66"/>
        <v>1652.23</v>
      </c>
      <c r="J71" s="56">
        <f t="shared" si="8"/>
        <v>47914.67</v>
      </c>
      <c r="K71" s="57">
        <f t="shared" si="32"/>
        <v>45434.88</v>
      </c>
      <c r="L71" s="58">
        <f aca="true" t="shared" si="71" ref="L71:L81">+J71-K71</f>
        <v>2479.790000000001</v>
      </c>
      <c r="M71" s="55">
        <f t="shared" si="37"/>
        <v>98.39483108639553</v>
      </c>
      <c r="N71" s="29">
        <f aca="true" t="shared" si="72" ref="N71:N81">SUM(L71:M71)</f>
        <v>2578.1848310863966</v>
      </c>
      <c r="O71" s="16">
        <f aca="true" t="shared" si="73" ref="O71:U71">IF($D71&lt;O$8,O$12,IF($D71&lt;P$8,P$8-$D71,0))</f>
        <v>0</v>
      </c>
      <c r="P71" s="16">
        <f t="shared" si="73"/>
        <v>43</v>
      </c>
      <c r="Q71" s="16">
        <f t="shared" si="73"/>
        <v>92</v>
      </c>
      <c r="R71" s="16">
        <f t="shared" si="73"/>
        <v>92</v>
      </c>
      <c r="S71" s="16">
        <f t="shared" si="73"/>
        <v>90</v>
      </c>
      <c r="T71" s="16">
        <f t="shared" si="73"/>
        <v>91</v>
      </c>
      <c r="U71" s="16">
        <f t="shared" si="73"/>
        <v>0</v>
      </c>
      <c r="V71" s="106">
        <f>IF(W$8&lt;V$8,0,IF($D71&lt;V$8,V$12,IF($D71&lt;W$8,W$8-$D71,0)))</f>
        <v>0</v>
      </c>
      <c r="W71" s="141">
        <f>$L71*O$11*O71</f>
        <v>0</v>
      </c>
      <c r="X71" s="63">
        <f>($L71+SUM($W71:W71))*(P$11*P71)</f>
        <v>10.098293688584478</v>
      </c>
      <c r="Y71" s="63">
        <f>($L71+SUM($W71:X71))*(Q$11*Q71)</f>
        <v>21.965589878567798</v>
      </c>
      <c r="Z71" s="63">
        <f>($L71+SUM($W71:Y71))*(R$11*R71)</f>
        <v>22.15936850708557</v>
      </c>
      <c r="AA71" s="63">
        <f>($L71+SUM($W71:Z71))*(S$11*S71)</f>
        <v>21.868881490503703</v>
      </c>
      <c r="AB71" s="63">
        <f>($L71+SUM($W71:AA71))*(T$11*T71)</f>
        <v>22.302697521653986</v>
      </c>
      <c r="AC71" s="63">
        <f>($L71+SUM($W71:AB71))*(U$11*U71)</f>
        <v>0</v>
      </c>
      <c r="AD71" s="63">
        <f>($L71+SUM($W71:AC71))*(V$11*V71)</f>
        <v>0</v>
      </c>
      <c r="AE71" s="110">
        <f t="shared" si="69"/>
        <v>98.39483108639553</v>
      </c>
    </row>
    <row r="72" spans="1:31" ht="12" customHeight="1">
      <c r="A72" s="3">
        <v>5</v>
      </c>
      <c r="B72" s="15">
        <f t="shared" si="15"/>
        <v>42491</v>
      </c>
      <c r="C72" s="243">
        <f t="shared" si="67"/>
        <v>42524</v>
      </c>
      <c r="D72" s="243">
        <f t="shared" si="67"/>
        <v>42541</v>
      </c>
      <c r="E72" s="30" t="s">
        <v>118</v>
      </c>
      <c r="F72" s="3">
        <v>9</v>
      </c>
      <c r="G72" s="362">
        <v>30</v>
      </c>
      <c r="H72" s="246">
        <f t="shared" si="68"/>
        <v>1566.72</v>
      </c>
      <c r="I72" s="246">
        <f t="shared" si="66"/>
        <v>1652.23</v>
      </c>
      <c r="J72" s="56">
        <f t="shared" si="8"/>
        <v>49566.9</v>
      </c>
      <c r="K72" s="57">
        <f t="shared" si="32"/>
        <v>47001.6</v>
      </c>
      <c r="L72" s="58">
        <f t="shared" si="71"/>
        <v>2565.300000000003</v>
      </c>
      <c r="M72" s="55">
        <f t="shared" si="37"/>
        <v>93.7379215998342</v>
      </c>
      <c r="N72" s="29">
        <f t="shared" si="72"/>
        <v>2659.0379215998373</v>
      </c>
      <c r="O72" s="16">
        <f t="shared" si="26"/>
        <v>0</v>
      </c>
      <c r="P72" s="16">
        <f t="shared" si="27"/>
        <v>11</v>
      </c>
      <c r="Q72" s="16">
        <f t="shared" si="28"/>
        <v>92</v>
      </c>
      <c r="R72" s="16">
        <f t="shared" si="63"/>
        <v>92</v>
      </c>
      <c r="S72" s="16">
        <f t="shared" si="63"/>
        <v>90</v>
      </c>
      <c r="T72" s="16">
        <f t="shared" si="63"/>
        <v>91</v>
      </c>
      <c r="U72" s="16">
        <f t="shared" si="63"/>
        <v>0</v>
      </c>
      <c r="V72" s="106">
        <f t="shared" si="17"/>
        <v>0</v>
      </c>
      <c r="W72" s="141">
        <f t="shared" si="70"/>
        <v>0</v>
      </c>
      <c r="X72" s="63">
        <f>($L72+SUM($W72:W72))*(P$11*P72)</f>
        <v>2.672363205479455</v>
      </c>
      <c r="Y72" s="63">
        <f>($L72+SUM($W72:X72))*(Q$11*Q72)</f>
        <v>22.654441121977136</v>
      </c>
      <c r="Z72" s="63">
        <f>($L72+SUM($W72:Y72))*(R$11*R72)</f>
        <v>22.85429673954636</v>
      </c>
      <c r="AA72" s="63">
        <f>($L72+SUM($W72:Z72))*(S$11*S72)</f>
        <v>22.554699913317997</v>
      </c>
      <c r="AB72" s="63">
        <f>($L72+SUM($W72:AA72))*(T$11*T72)</f>
        <v>23.00212061951324</v>
      </c>
      <c r="AC72" s="63">
        <f>($L72+SUM($W72:AB72))*(U$11*U72)</f>
        <v>0</v>
      </c>
      <c r="AD72" s="63">
        <f>($L72+SUM($W72:AC72))*(V$11*V72)</f>
        <v>0</v>
      </c>
      <c r="AE72" s="110">
        <f t="shared" si="69"/>
        <v>93.7379215998342</v>
      </c>
    </row>
    <row r="73" spans="1:31" ht="12.75">
      <c r="A73" s="3">
        <v>6</v>
      </c>
      <c r="B73" s="15">
        <f t="shared" si="15"/>
        <v>42522</v>
      </c>
      <c r="C73" s="243">
        <f t="shared" si="67"/>
        <v>42557</v>
      </c>
      <c r="D73" s="243">
        <f t="shared" si="67"/>
        <v>42572</v>
      </c>
      <c r="E73" s="30" t="s">
        <v>118</v>
      </c>
      <c r="F73" s="3">
        <v>9</v>
      </c>
      <c r="G73" s="362">
        <v>36</v>
      </c>
      <c r="H73" s="246">
        <f t="shared" si="68"/>
        <v>1566.72</v>
      </c>
      <c r="I73" s="246">
        <f t="shared" si="66"/>
        <v>1652.23</v>
      </c>
      <c r="J73" s="56">
        <f t="shared" si="8"/>
        <v>59480.28</v>
      </c>
      <c r="K73" s="57">
        <f t="shared" si="32"/>
        <v>56401.92</v>
      </c>
      <c r="L73" s="77">
        <f t="shared" si="71"/>
        <v>3078.3600000000006</v>
      </c>
      <c r="M73" s="78">
        <f t="shared" si="37"/>
        <v>103.10534489162993</v>
      </c>
      <c r="N73" s="76">
        <f t="shared" si="72"/>
        <v>3181.4653448916306</v>
      </c>
      <c r="O73" s="16">
        <f t="shared" si="26"/>
        <v>0</v>
      </c>
      <c r="P73" s="16">
        <f t="shared" si="27"/>
        <v>0</v>
      </c>
      <c r="Q73" s="16">
        <f t="shared" si="28"/>
        <v>72</v>
      </c>
      <c r="R73" s="16">
        <f t="shared" si="63"/>
        <v>92</v>
      </c>
      <c r="S73" s="16">
        <f t="shared" si="63"/>
        <v>90</v>
      </c>
      <c r="T73" s="16">
        <f t="shared" si="63"/>
        <v>91</v>
      </c>
      <c r="U73" s="16">
        <f t="shared" si="63"/>
        <v>0</v>
      </c>
      <c r="V73" s="106">
        <f t="shared" si="17"/>
        <v>0</v>
      </c>
      <c r="W73" s="141">
        <f t="shared" si="70"/>
        <v>0</v>
      </c>
      <c r="X73" s="63">
        <f>($L73+SUM($W73:W73))*(P$11*P73)</f>
        <v>0</v>
      </c>
      <c r="Y73" s="63">
        <f>($L73+SUM($W73:X73))*(Q$11*Q73)</f>
        <v>21.253334794520555</v>
      </c>
      <c r="Z73" s="63">
        <f>($L73+SUM($W73:Y73))*(R$11*R73)</f>
        <v>27.34453407681742</v>
      </c>
      <c r="AA73" s="63">
        <f>($L73+SUM($W73:Z73))*(S$11*S73)</f>
        <v>26.98607475875265</v>
      </c>
      <c r="AB73" s="63">
        <f>($L73+SUM($W73:AA73))*(T$11*T73)</f>
        <v>27.52140126153929</v>
      </c>
      <c r="AC73" s="63">
        <f>($L73+SUM($W73:AB73))*(U$11*U73)</f>
        <v>0</v>
      </c>
      <c r="AD73" s="63">
        <f>($L73+SUM($W73:AC73))*(V$11*V73)</f>
        <v>0</v>
      </c>
      <c r="AE73" s="110">
        <f t="shared" si="69"/>
        <v>103.10534489162993</v>
      </c>
    </row>
    <row r="74" spans="1:31" ht="12.75">
      <c r="A74" s="16">
        <v>7</v>
      </c>
      <c r="B74" s="15">
        <f t="shared" si="15"/>
        <v>42552</v>
      </c>
      <c r="C74" s="243">
        <f t="shared" si="67"/>
        <v>42585</v>
      </c>
      <c r="D74" s="243">
        <f t="shared" si="67"/>
        <v>42600</v>
      </c>
      <c r="E74" s="30" t="s">
        <v>118</v>
      </c>
      <c r="F74" s="3">
        <v>9</v>
      </c>
      <c r="G74" s="362">
        <v>38</v>
      </c>
      <c r="H74" s="246">
        <f aca="true" t="shared" si="74" ref="H74:H79">$K$8</f>
        <v>1623.7</v>
      </c>
      <c r="I74" s="246">
        <f t="shared" si="66"/>
        <v>1652.23</v>
      </c>
      <c r="J74" s="56">
        <f t="shared" si="8"/>
        <v>62784.74</v>
      </c>
      <c r="K74" s="74">
        <f t="shared" si="32"/>
        <v>61700.6</v>
      </c>
      <c r="L74" s="77">
        <f t="shared" si="71"/>
        <v>1084.1399999999994</v>
      </c>
      <c r="M74" s="75">
        <f t="shared" si="37"/>
        <v>33.324037984624795</v>
      </c>
      <c r="N74" s="76">
        <f t="shared" si="72"/>
        <v>1117.4640379846242</v>
      </c>
      <c r="O74" s="16">
        <f t="shared" si="26"/>
        <v>0</v>
      </c>
      <c r="P74" s="16">
        <f t="shared" si="27"/>
        <v>0</v>
      </c>
      <c r="Q74" s="16">
        <f t="shared" si="28"/>
        <v>44</v>
      </c>
      <c r="R74" s="16">
        <f t="shared" si="63"/>
        <v>92</v>
      </c>
      <c r="S74" s="16">
        <f t="shared" si="63"/>
        <v>90</v>
      </c>
      <c r="T74" s="16">
        <f t="shared" si="63"/>
        <v>91</v>
      </c>
      <c r="U74" s="16">
        <f t="shared" si="63"/>
        <v>0</v>
      </c>
      <c r="V74" s="106">
        <f t="shared" si="17"/>
        <v>0</v>
      </c>
      <c r="W74" s="141">
        <f t="shared" si="70"/>
        <v>0</v>
      </c>
      <c r="X74" s="63">
        <f>($L74+SUM($W74:W74))*(P$11*P74)</f>
        <v>0</v>
      </c>
      <c r="Y74" s="63">
        <f>($L74+SUM($W74:X74))*(Q$11*Q74)</f>
        <v>4.5741797260273955</v>
      </c>
      <c r="Z74" s="63">
        <f>($L74+SUM($W74:Y74))*(R$11*R74)</f>
        <v>9.60454701018577</v>
      </c>
      <c r="AA74" s="63">
        <f>($L74+SUM($W74:Z74))*(S$11*S74)</f>
        <v>9.478641066353616</v>
      </c>
      <c r="AB74" s="63">
        <f>($L74+SUM($W74:AA74))*(T$11*T74)</f>
        <v>9.66667018205801</v>
      </c>
      <c r="AC74" s="63">
        <f>($L74+SUM($W74:AB74))*(U$11*U74)</f>
        <v>0</v>
      </c>
      <c r="AD74" s="63">
        <f>($L74+SUM($W74:AC74))*(V$11*V74)</f>
        <v>0</v>
      </c>
      <c r="AE74" s="110">
        <f aca="true" t="shared" si="75" ref="AE74:AE79">SUM(W74:AD74)</f>
        <v>33.324037984624795</v>
      </c>
    </row>
    <row r="75" spans="1:31" ht="12.75">
      <c r="A75" s="3">
        <v>8</v>
      </c>
      <c r="B75" s="15">
        <f t="shared" si="15"/>
        <v>42583</v>
      </c>
      <c r="C75" s="243">
        <f t="shared" si="67"/>
        <v>42619</v>
      </c>
      <c r="D75" s="243">
        <f t="shared" si="67"/>
        <v>42634</v>
      </c>
      <c r="E75" s="30" t="s">
        <v>118</v>
      </c>
      <c r="F75" s="3">
        <v>9</v>
      </c>
      <c r="G75" s="362">
        <v>40</v>
      </c>
      <c r="H75" s="246">
        <f t="shared" si="74"/>
        <v>1623.7</v>
      </c>
      <c r="I75" s="246">
        <f t="shared" si="66"/>
        <v>1652.23</v>
      </c>
      <c r="J75" s="56">
        <f t="shared" si="8"/>
        <v>66089.2</v>
      </c>
      <c r="K75" s="74">
        <f t="shared" si="32"/>
        <v>64948</v>
      </c>
      <c r="L75" s="77">
        <f t="shared" si="71"/>
        <v>1141.199999999997</v>
      </c>
      <c r="M75" s="75">
        <f t="shared" si="37"/>
        <v>31.259058902690725</v>
      </c>
      <c r="N75" s="76">
        <f t="shared" si="72"/>
        <v>1172.4590589026877</v>
      </c>
      <c r="O75" s="16">
        <f t="shared" si="26"/>
        <v>0</v>
      </c>
      <c r="P75" s="16">
        <f t="shared" si="27"/>
        <v>0</v>
      </c>
      <c r="Q75" s="16">
        <f t="shared" si="28"/>
        <v>10</v>
      </c>
      <c r="R75" s="16">
        <f aca="true" t="shared" si="76" ref="R75:U89">IF($D75&lt;R$8,R$12,IF($D75&lt;S$8,S$8-$D75,0))</f>
        <v>92</v>
      </c>
      <c r="S75" s="16">
        <f t="shared" si="76"/>
        <v>90</v>
      </c>
      <c r="T75" s="16">
        <f t="shared" si="76"/>
        <v>91</v>
      </c>
      <c r="U75" s="16">
        <f t="shared" si="76"/>
        <v>0</v>
      </c>
      <c r="V75" s="106">
        <f t="shared" si="17"/>
        <v>0</v>
      </c>
      <c r="W75" s="141">
        <f t="shared" si="70"/>
        <v>0</v>
      </c>
      <c r="X75" s="63">
        <f>($L75+SUM($W75:W75))*(P$11*P75)</f>
        <v>0</v>
      </c>
      <c r="Y75" s="63">
        <f>($L75+SUM($W75:X75))*(Q$11*Q75)</f>
        <v>1.094301369863011</v>
      </c>
      <c r="Z75" s="63">
        <f>($L75+SUM($W75:Y75))*(R$11*R75)</f>
        <v>10.077226439482054</v>
      </c>
      <c r="AA75" s="63">
        <f>($L75+SUM($W75:Z75))*(S$11*S75)</f>
        <v>9.945124144108021</v>
      </c>
      <c r="AB75" s="63">
        <f>($L75+SUM($W75:AA75))*(T$11*T75)</f>
        <v>10.14240694923764</v>
      </c>
      <c r="AC75" s="63">
        <f>($L75+SUM($W75:AB75))*(U$11*U75)</f>
        <v>0</v>
      </c>
      <c r="AD75" s="63">
        <f>($L75+SUM($W75:AC75))*(V$11*V75)</f>
        <v>0</v>
      </c>
      <c r="AE75" s="110">
        <f t="shared" si="75"/>
        <v>31.259058902690725</v>
      </c>
    </row>
    <row r="76" spans="1:31" ht="12.75">
      <c r="A76" s="3">
        <v>9</v>
      </c>
      <c r="B76" s="15">
        <f t="shared" si="15"/>
        <v>42614</v>
      </c>
      <c r="C76" s="243">
        <f t="shared" si="67"/>
        <v>42648</v>
      </c>
      <c r="D76" s="243">
        <f t="shared" si="67"/>
        <v>42663</v>
      </c>
      <c r="E76" s="30" t="s">
        <v>118</v>
      </c>
      <c r="F76" s="3">
        <v>9</v>
      </c>
      <c r="G76" s="362">
        <v>36</v>
      </c>
      <c r="H76" s="246">
        <f t="shared" si="74"/>
        <v>1623.7</v>
      </c>
      <c r="I76" s="246">
        <f t="shared" si="66"/>
        <v>1652.23</v>
      </c>
      <c r="J76" s="56">
        <f t="shared" si="8"/>
        <v>59480.28</v>
      </c>
      <c r="K76" s="74">
        <f t="shared" si="32"/>
        <v>58453.200000000004</v>
      </c>
      <c r="L76" s="77">
        <f t="shared" si="71"/>
        <v>1027.0799999999945</v>
      </c>
      <c r="M76" s="75">
        <f t="shared" si="37"/>
        <v>25.218400043363275</v>
      </c>
      <c r="N76" s="76">
        <f t="shared" si="72"/>
        <v>1052.2984000433578</v>
      </c>
      <c r="O76" s="16">
        <f t="shared" si="26"/>
        <v>0</v>
      </c>
      <c r="P76" s="16">
        <f t="shared" si="27"/>
        <v>0</v>
      </c>
      <c r="Q76" s="16">
        <f t="shared" si="28"/>
        <v>0</v>
      </c>
      <c r="R76" s="16">
        <f t="shared" si="76"/>
        <v>73</v>
      </c>
      <c r="S76" s="16">
        <f t="shared" si="76"/>
        <v>90</v>
      </c>
      <c r="T76" s="16">
        <f t="shared" si="76"/>
        <v>91</v>
      </c>
      <c r="U76" s="16">
        <f t="shared" si="76"/>
        <v>0</v>
      </c>
      <c r="V76" s="106">
        <f t="shared" si="17"/>
        <v>0</v>
      </c>
      <c r="W76" s="141">
        <f t="shared" si="70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7.189559999999962</v>
      </c>
      <c r="AA76" s="63">
        <f>($L76+SUM($W76:Z76))*(S$11*S76)</f>
        <v>8.925887983561598</v>
      </c>
      <c r="AB76" s="63">
        <f>($L76+SUM($W76:AA76))*(T$11*T76)</f>
        <v>9.102952059801716</v>
      </c>
      <c r="AC76" s="63">
        <f>($L76+SUM($W76:AB76))*(U$11*U76)</f>
        <v>0</v>
      </c>
      <c r="AD76" s="63">
        <f>($L76+SUM($W76:AC76))*(V$11*V76)</f>
        <v>0</v>
      </c>
      <c r="AE76" s="110">
        <f t="shared" si="75"/>
        <v>25.218400043363275</v>
      </c>
    </row>
    <row r="77" spans="1:31" ht="12.75">
      <c r="A77" s="16">
        <v>10</v>
      </c>
      <c r="B77" s="15">
        <f t="shared" si="15"/>
        <v>42644</v>
      </c>
      <c r="C77" s="243">
        <f t="shared" si="67"/>
        <v>42677</v>
      </c>
      <c r="D77" s="243">
        <f t="shared" si="67"/>
        <v>42692</v>
      </c>
      <c r="E77" s="30" t="s">
        <v>118</v>
      </c>
      <c r="F77" s="3">
        <v>9</v>
      </c>
      <c r="G77" s="362">
        <v>26</v>
      </c>
      <c r="H77" s="246">
        <f t="shared" si="74"/>
        <v>1623.7</v>
      </c>
      <c r="I77" s="246">
        <f t="shared" si="66"/>
        <v>1652.23</v>
      </c>
      <c r="J77" s="56">
        <f t="shared" si="8"/>
        <v>42957.98</v>
      </c>
      <c r="K77" s="74">
        <f t="shared" si="32"/>
        <v>42216.200000000004</v>
      </c>
      <c r="L77" s="77">
        <f t="shared" si="71"/>
        <v>741.7799999999988</v>
      </c>
      <c r="M77" s="75">
        <f t="shared" si="37"/>
        <v>16.114573929922408</v>
      </c>
      <c r="N77" s="76">
        <f t="shared" si="72"/>
        <v>757.8945739299212</v>
      </c>
      <c r="O77" s="16">
        <f t="shared" si="26"/>
        <v>0</v>
      </c>
      <c r="P77" s="16">
        <f t="shared" si="27"/>
        <v>0</v>
      </c>
      <c r="Q77" s="16">
        <f t="shared" si="28"/>
        <v>0</v>
      </c>
      <c r="R77" s="16">
        <f t="shared" si="76"/>
        <v>44</v>
      </c>
      <c r="S77" s="16">
        <f t="shared" si="76"/>
        <v>90</v>
      </c>
      <c r="T77" s="16">
        <f t="shared" si="76"/>
        <v>91</v>
      </c>
      <c r="U77" s="16">
        <f t="shared" si="76"/>
        <v>0</v>
      </c>
      <c r="V77" s="106">
        <f t="shared" si="17"/>
        <v>0</v>
      </c>
      <c r="W77" s="141">
        <f t="shared" si="70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3.129701917808215</v>
      </c>
      <c r="AA77" s="63">
        <f>($L77+SUM($W77:Z77))*(S$11*S77)</f>
        <v>6.428672769975596</v>
      </c>
      <c r="AB77" s="63">
        <f>($L77+SUM($W77:AA77))*(T$11*T77)</f>
        <v>6.556199242138597</v>
      </c>
      <c r="AC77" s="63">
        <f>($L77+SUM($W77:AB77))*(U$11*U77)</f>
        <v>0</v>
      </c>
      <c r="AD77" s="63">
        <f>($L77+SUM($W77:AC77))*(V$11*V77)</f>
        <v>0</v>
      </c>
      <c r="AE77" s="110">
        <f t="shared" si="75"/>
        <v>16.114573929922408</v>
      </c>
    </row>
    <row r="78" spans="1:31" ht="12.75">
      <c r="A78" s="3">
        <v>11</v>
      </c>
      <c r="B78" s="15">
        <f t="shared" si="15"/>
        <v>42675</v>
      </c>
      <c r="C78" s="243">
        <f t="shared" si="67"/>
        <v>42709</v>
      </c>
      <c r="D78" s="243">
        <f t="shared" si="67"/>
        <v>42724</v>
      </c>
      <c r="E78" s="30" t="s">
        <v>118</v>
      </c>
      <c r="F78" s="3">
        <v>9</v>
      </c>
      <c r="G78" s="362">
        <v>26</v>
      </c>
      <c r="H78" s="246">
        <f t="shared" si="74"/>
        <v>1623.7</v>
      </c>
      <c r="I78" s="246">
        <f t="shared" si="66"/>
        <v>1652.23</v>
      </c>
      <c r="J78" s="56">
        <f t="shared" si="8"/>
        <v>42957.98</v>
      </c>
      <c r="K78" s="74">
        <f t="shared" si="32"/>
        <v>42216.200000000004</v>
      </c>
      <c r="L78" s="77">
        <f t="shared" si="71"/>
        <v>741.7799999999988</v>
      </c>
      <c r="M78" s="75">
        <f t="shared" si="37"/>
        <v>13.798750492367128</v>
      </c>
      <c r="N78" s="76">
        <f t="shared" si="72"/>
        <v>755.578750492366</v>
      </c>
      <c r="O78" s="16">
        <f t="shared" si="26"/>
        <v>0</v>
      </c>
      <c r="P78" s="16">
        <f t="shared" si="27"/>
        <v>0</v>
      </c>
      <c r="Q78" s="16">
        <f t="shared" si="28"/>
        <v>0</v>
      </c>
      <c r="R78" s="16">
        <f t="shared" si="76"/>
        <v>12</v>
      </c>
      <c r="S78" s="16">
        <f t="shared" si="76"/>
        <v>90</v>
      </c>
      <c r="T78" s="16">
        <f t="shared" si="76"/>
        <v>91</v>
      </c>
      <c r="U78" s="16">
        <f t="shared" si="76"/>
        <v>0</v>
      </c>
      <c r="V78" s="106">
        <f t="shared" si="17"/>
        <v>0</v>
      </c>
      <c r="W78" s="141">
        <f t="shared" si="70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0.8535550684931494</v>
      </c>
      <c r="AA78" s="63">
        <f>($L78+SUM($W78:Z78))*(S$11*S78)</f>
        <v>6.409029310865068</v>
      </c>
      <c r="AB78" s="63">
        <f>($L78+SUM($W78:AA78))*(T$11*T78)</f>
        <v>6.53616611300891</v>
      </c>
      <c r="AC78" s="63">
        <f>($L78+SUM($W78:AB78))*(U$11*U78)</f>
        <v>0</v>
      </c>
      <c r="AD78" s="63">
        <f>($L78+SUM($W78:AC78))*(V$11*V78)</f>
        <v>0</v>
      </c>
      <c r="AE78" s="110">
        <f t="shared" si="75"/>
        <v>13.798750492367128</v>
      </c>
    </row>
    <row r="79" spans="1:31" s="69" customFormat="1" ht="12.75">
      <c r="A79" s="3">
        <v>12</v>
      </c>
      <c r="B79" s="83">
        <f t="shared" si="15"/>
        <v>42705</v>
      </c>
      <c r="C79" s="243">
        <f t="shared" si="67"/>
        <v>42740</v>
      </c>
      <c r="D79" s="243">
        <f t="shared" si="67"/>
        <v>42755</v>
      </c>
      <c r="E79" s="84" t="s">
        <v>118</v>
      </c>
      <c r="F79" s="81">
        <v>9</v>
      </c>
      <c r="G79" s="363">
        <v>39</v>
      </c>
      <c r="H79" s="247">
        <f t="shared" si="74"/>
        <v>1623.7</v>
      </c>
      <c r="I79" s="247">
        <f t="shared" si="66"/>
        <v>1652.23</v>
      </c>
      <c r="J79" s="85">
        <f t="shared" si="8"/>
        <v>64436.97</v>
      </c>
      <c r="K79" s="86">
        <f t="shared" si="32"/>
        <v>63324.3</v>
      </c>
      <c r="L79" s="87">
        <f t="shared" si="71"/>
        <v>1112.6699999999983</v>
      </c>
      <c r="M79" s="88">
        <f t="shared" si="37"/>
        <v>17.350592423086855</v>
      </c>
      <c r="N79" s="89">
        <f t="shared" si="72"/>
        <v>1130.0205924230852</v>
      </c>
      <c r="O79" s="81">
        <f t="shared" si="26"/>
        <v>0</v>
      </c>
      <c r="P79" s="81">
        <f t="shared" si="27"/>
        <v>0</v>
      </c>
      <c r="Q79" s="81">
        <f t="shared" si="28"/>
        <v>0</v>
      </c>
      <c r="R79" s="81">
        <f t="shared" si="76"/>
        <v>0</v>
      </c>
      <c r="S79" s="81">
        <f t="shared" si="76"/>
        <v>71</v>
      </c>
      <c r="T79" s="81">
        <f t="shared" si="76"/>
        <v>91</v>
      </c>
      <c r="U79" s="81">
        <f t="shared" si="76"/>
        <v>0</v>
      </c>
      <c r="V79" s="107">
        <f t="shared" si="17"/>
        <v>0</v>
      </c>
      <c r="W79" s="142">
        <f t="shared" si="70"/>
        <v>0</v>
      </c>
      <c r="X79" s="90">
        <f>($L79+SUM($W79:W79))*(P$11*P79)</f>
        <v>0</v>
      </c>
      <c r="Y79" s="90">
        <f>($L79+SUM($W79:X79))*(Q$11*Q79)</f>
        <v>0</v>
      </c>
      <c r="Z79" s="90">
        <f>($L79+SUM($W79:Y79))*(R$11*R79)</f>
        <v>0</v>
      </c>
      <c r="AA79" s="90">
        <f>($L79+SUM($W79:Z79))*(S$11*S79)</f>
        <v>7.575301232876701</v>
      </c>
      <c r="AB79" s="90">
        <f>($L79+SUM($W79:AA79))*(T$11*T79)</f>
        <v>9.775291190210154</v>
      </c>
      <c r="AC79" s="90">
        <f>($L79+SUM($W79:AB79))*(U$11*U79)</f>
        <v>0</v>
      </c>
      <c r="AD79" s="90">
        <f>($L79+SUM($W79:AC79))*(V$11*V79)</f>
        <v>0</v>
      </c>
      <c r="AE79" s="111">
        <f t="shared" si="75"/>
        <v>17.350592423086855</v>
      </c>
    </row>
    <row r="80" spans="1:31" ht="12.75">
      <c r="A80" s="16">
        <v>1</v>
      </c>
      <c r="B80" s="15">
        <f t="shared" si="15"/>
        <v>42370</v>
      </c>
      <c r="C80" s="242">
        <f t="shared" si="67"/>
        <v>42403</v>
      </c>
      <c r="D80" s="242">
        <f t="shared" si="67"/>
        <v>42418</v>
      </c>
      <c r="E80" s="118" t="s">
        <v>117</v>
      </c>
      <c r="F80" s="16">
        <v>9</v>
      </c>
      <c r="G80" s="362">
        <v>79</v>
      </c>
      <c r="H80" s="246">
        <f aca="true" t="shared" si="77" ref="H80:H85">$K$3</f>
        <v>1566.72</v>
      </c>
      <c r="I80" s="246">
        <f t="shared" si="66"/>
        <v>1652.23</v>
      </c>
      <c r="J80" s="56">
        <f t="shared" si="8"/>
        <v>130526.17</v>
      </c>
      <c r="K80" s="57">
        <f t="shared" si="32"/>
        <v>123770.88</v>
      </c>
      <c r="L80" s="58">
        <f t="shared" si="71"/>
        <v>6755.289999999994</v>
      </c>
      <c r="M80" s="55">
        <f t="shared" si="37"/>
        <v>326.8503805331263</v>
      </c>
      <c r="N80" s="29">
        <f t="shared" si="72"/>
        <v>7082.14038053312</v>
      </c>
      <c r="O80" s="16">
        <f aca="true" t="shared" si="78" ref="O80:O103">IF($D80&lt;O$8,O$12,IF($D80&lt;P$8,P$8-$D80,0))</f>
        <v>43</v>
      </c>
      <c r="P80" s="16">
        <f aca="true" t="shared" si="79" ref="P80:P103">IF($D80&lt;P$8,P$12,IF($D80&lt;Q$8,Q$8-$D80,0))</f>
        <v>91</v>
      </c>
      <c r="Q80" s="16">
        <f aca="true" t="shared" si="80" ref="Q80:Q103">IF($D80&lt;Q$8,Q$12,IF($D80&lt;R$8,R$8-$D80,0))</f>
        <v>92</v>
      </c>
      <c r="R80" s="16">
        <f t="shared" si="76"/>
        <v>92</v>
      </c>
      <c r="S80" s="16">
        <f t="shared" si="76"/>
        <v>90</v>
      </c>
      <c r="T80" s="16">
        <f t="shared" si="76"/>
        <v>91</v>
      </c>
      <c r="U80" s="16">
        <f t="shared" si="76"/>
        <v>0</v>
      </c>
      <c r="V80" s="106">
        <f>IF(W$8&lt;V$8,0,IF($D80&lt;V$8,V$12,IF($D80&lt;W$8,W$8-$D80,0)))</f>
        <v>0</v>
      </c>
      <c r="W80" s="141">
        <f>$L80*O$11*O80</f>
        <v>25.864432260273947</v>
      </c>
      <c r="X80" s="63">
        <f>($L80+SUM($W80:W80))*(P$11*P80)</f>
        <v>58.439926968868015</v>
      </c>
      <c r="Y80" s="63">
        <f>($L80+SUM($W80:X80))*(Q$11*Q80)</f>
        <v>60.33833927867896</v>
      </c>
      <c r="Z80" s="63">
        <f>($L80+SUM($W80:Y80))*(R$11*R80)</f>
        <v>60.8706391484799</v>
      </c>
      <c r="AA80" s="63">
        <f>($L80+SUM($W80:Z80))*(S$11*S80)</f>
        <v>60.07268633867761</v>
      </c>
      <c r="AB80" s="63">
        <f>($L80+SUM($W80:AA80))*(T$11*T80)</f>
        <v>61.2643565381479</v>
      </c>
      <c r="AC80" s="63">
        <f>($L80+SUM($W80:AB80))*(U$11*U80)</f>
        <v>0</v>
      </c>
      <c r="AD80" s="63">
        <f>($L80+SUM($W80:AC80))*(V$11*V80)</f>
        <v>0</v>
      </c>
      <c r="AE80" s="110">
        <f aca="true" t="shared" si="81" ref="AE80:AE85">SUM(W80:AD80)</f>
        <v>326.8503805331263</v>
      </c>
    </row>
    <row r="81" spans="1:31" ht="12.75">
      <c r="A81" s="3">
        <v>2</v>
      </c>
      <c r="B81" s="15">
        <f t="shared" si="15"/>
        <v>42401</v>
      </c>
      <c r="C81" s="243">
        <f t="shared" si="67"/>
        <v>42432</v>
      </c>
      <c r="D81" s="243">
        <f t="shared" si="67"/>
        <v>42447</v>
      </c>
      <c r="E81" s="70" t="s">
        <v>117</v>
      </c>
      <c r="F81" s="3">
        <v>9</v>
      </c>
      <c r="G81" s="362">
        <v>72</v>
      </c>
      <c r="H81" s="246">
        <f t="shared" si="77"/>
        <v>1566.72</v>
      </c>
      <c r="I81" s="246">
        <f t="shared" si="66"/>
        <v>1652.23</v>
      </c>
      <c r="J81" s="56">
        <f t="shared" si="8"/>
        <v>118960.56</v>
      </c>
      <c r="K81" s="57">
        <f t="shared" si="32"/>
        <v>112803.84</v>
      </c>
      <c r="L81" s="58">
        <f t="shared" si="71"/>
        <v>6156.720000000001</v>
      </c>
      <c r="M81" s="55">
        <f t="shared" si="37"/>
        <v>281.28548702948024</v>
      </c>
      <c r="N81" s="29">
        <f t="shared" si="72"/>
        <v>6438.005487029482</v>
      </c>
      <c r="O81" s="16">
        <f t="shared" si="78"/>
        <v>14</v>
      </c>
      <c r="P81" s="16">
        <f t="shared" si="79"/>
        <v>91</v>
      </c>
      <c r="Q81" s="16">
        <f t="shared" si="80"/>
        <v>92</v>
      </c>
      <c r="R81" s="16">
        <f t="shared" si="76"/>
        <v>92</v>
      </c>
      <c r="S81" s="16">
        <f t="shared" si="76"/>
        <v>90</v>
      </c>
      <c r="T81" s="16">
        <f t="shared" si="76"/>
        <v>91</v>
      </c>
      <c r="U81" s="16">
        <f t="shared" si="76"/>
        <v>0</v>
      </c>
      <c r="V81" s="106">
        <f t="shared" si="17"/>
        <v>0</v>
      </c>
      <c r="W81" s="141">
        <f aca="true" t="shared" si="82" ref="W81:W91">$L81*O$11*O81</f>
        <v>7.674815342465756</v>
      </c>
      <c r="X81" s="63">
        <f>($L81+SUM($W81:W81))*(P$11*P81)</f>
        <v>53.12469822277833</v>
      </c>
      <c r="Y81" s="63">
        <f>($L81+SUM($W81:X81))*(Q$11*Q81)</f>
        <v>54.85044611967149</v>
      </c>
      <c r="Z81" s="63">
        <f>($L81+SUM($W81:Y81))*(R$11*R81)</f>
        <v>55.33433224708338</v>
      </c>
      <c r="AA81" s="63">
        <f>($L81+SUM($W81:Z81))*(S$11*S81)</f>
        <v>54.60895484818028</v>
      </c>
      <c r="AB81" s="63">
        <f>($L81+SUM($W81:AA81))*(T$11*T81)</f>
        <v>55.69224024930103</v>
      </c>
      <c r="AC81" s="63">
        <f>($L81+SUM($W81:AB81))*(U$11*U81)</f>
        <v>0</v>
      </c>
      <c r="AD81" s="63">
        <f>($L81+SUM($W81:AC81))*(V$11*V81)</f>
        <v>0</v>
      </c>
      <c r="AE81" s="110">
        <f t="shared" si="81"/>
        <v>281.28548702948024</v>
      </c>
    </row>
    <row r="82" spans="1:31" ht="12.75">
      <c r="A82" s="3">
        <v>3</v>
      </c>
      <c r="B82" s="15">
        <f t="shared" si="15"/>
        <v>42430</v>
      </c>
      <c r="C82" s="243">
        <f t="shared" si="67"/>
        <v>42465</v>
      </c>
      <c r="D82" s="243">
        <f t="shared" si="67"/>
        <v>42480</v>
      </c>
      <c r="E82" s="70" t="s">
        <v>117</v>
      </c>
      <c r="F82" s="3">
        <v>9</v>
      </c>
      <c r="G82" s="362">
        <v>67</v>
      </c>
      <c r="H82" s="246">
        <f t="shared" si="77"/>
        <v>1566.72</v>
      </c>
      <c r="I82" s="246">
        <f t="shared" si="66"/>
        <v>1652.23</v>
      </c>
      <c r="J82" s="56">
        <f t="shared" si="8"/>
        <v>110699.41</v>
      </c>
      <c r="K82" s="57">
        <f aca="true" t="shared" si="83" ref="K82:K145">+$G82*H82</f>
        <v>104970.24</v>
      </c>
      <c r="L82" s="58">
        <f>+J82-K82</f>
        <v>5729.169999999998</v>
      </c>
      <c r="M82" s="55">
        <f t="shared" si="37"/>
        <v>243.61851907748206</v>
      </c>
      <c r="N82" s="29">
        <f>SUM(L82:M82)</f>
        <v>5972.7885190774805</v>
      </c>
      <c r="O82" s="16">
        <f aca="true" t="shared" si="84" ref="O82:U82">IF($D82&lt;O$8,O$12,IF($D82&lt;P$8,P$8-$D82,0))</f>
        <v>0</v>
      </c>
      <c r="P82" s="16">
        <f t="shared" si="84"/>
        <v>72</v>
      </c>
      <c r="Q82" s="16">
        <f t="shared" si="84"/>
        <v>92</v>
      </c>
      <c r="R82" s="16">
        <f t="shared" si="84"/>
        <v>92</v>
      </c>
      <c r="S82" s="16">
        <f t="shared" si="84"/>
        <v>90</v>
      </c>
      <c r="T82" s="16">
        <f t="shared" si="84"/>
        <v>91</v>
      </c>
      <c r="U82" s="16">
        <f t="shared" si="84"/>
        <v>0</v>
      </c>
      <c r="V82" s="106">
        <f>IF(W$8&lt;V$8,0,IF($D82&lt;V$8,V$12,IF($D82&lt;W$8,W$8-$D82,0)))</f>
        <v>0</v>
      </c>
      <c r="W82" s="141">
        <f>$L82*O$11*O82</f>
        <v>0</v>
      </c>
      <c r="X82" s="63">
        <f>($L82+SUM($W82:W82))*(P$11*P82)</f>
        <v>39.0650912219178</v>
      </c>
      <c r="Y82" s="63">
        <f>($L82+SUM($W82:X82))*(Q$11*Q82)</f>
        <v>50.88689587324541</v>
      </c>
      <c r="Z82" s="63">
        <f>($L82+SUM($W82:Y82))*(R$11*R82)</f>
        <v>51.335815886154585</v>
      </c>
      <c r="AA82" s="63">
        <f>($L82+SUM($W82:Z82))*(S$11*S82)</f>
        <v>50.66285501203054</v>
      </c>
      <c r="AB82" s="63">
        <f>($L82+SUM($W82:AA82))*(T$11*T82)</f>
        <v>51.667861084133726</v>
      </c>
      <c r="AC82" s="63">
        <f>($L82+SUM($W82:AB82))*(U$11*U82)</f>
        <v>0</v>
      </c>
      <c r="AD82" s="63">
        <f>($L82+SUM($W82:AC82))*(V$11*V82)</f>
        <v>0</v>
      </c>
      <c r="AE82" s="110">
        <f t="shared" si="81"/>
        <v>243.61851907748206</v>
      </c>
    </row>
    <row r="83" spans="1:31" ht="12.75">
      <c r="A83" s="16">
        <v>4</v>
      </c>
      <c r="B83" s="15">
        <f t="shared" si="15"/>
        <v>42461</v>
      </c>
      <c r="C83" s="243">
        <f t="shared" si="67"/>
        <v>42494</v>
      </c>
      <c r="D83" s="243">
        <f t="shared" si="67"/>
        <v>42509</v>
      </c>
      <c r="E83" s="70" t="s">
        <v>117</v>
      </c>
      <c r="F83" s="3">
        <v>9</v>
      </c>
      <c r="G83" s="362">
        <v>79</v>
      </c>
      <c r="H83" s="246">
        <f t="shared" si="77"/>
        <v>1566.72</v>
      </c>
      <c r="I83" s="246">
        <f t="shared" si="66"/>
        <v>1652.23</v>
      </c>
      <c r="J83" s="56">
        <f t="shared" si="8"/>
        <v>130526.17</v>
      </c>
      <c r="K83" s="57">
        <f t="shared" si="83"/>
        <v>123770.88</v>
      </c>
      <c r="L83" s="58">
        <f aca="true" t="shared" si="85" ref="L83:L93">+J83-K83</f>
        <v>6755.289999999994</v>
      </c>
      <c r="M83" s="55">
        <f t="shared" si="37"/>
        <v>268.0410915801806</v>
      </c>
      <c r="N83" s="29">
        <f aca="true" t="shared" si="86" ref="N83:N93">SUM(L83:M83)</f>
        <v>7023.331091580174</v>
      </c>
      <c r="O83" s="16">
        <f t="shared" si="78"/>
        <v>0</v>
      </c>
      <c r="P83" s="16">
        <f t="shared" si="79"/>
        <v>43</v>
      </c>
      <c r="Q83" s="16">
        <f t="shared" si="80"/>
        <v>92</v>
      </c>
      <c r="R83" s="16">
        <f t="shared" si="76"/>
        <v>92</v>
      </c>
      <c r="S83" s="16">
        <f t="shared" si="76"/>
        <v>90</v>
      </c>
      <c r="T83" s="16">
        <f t="shared" si="76"/>
        <v>91</v>
      </c>
      <c r="U83" s="16">
        <f t="shared" si="76"/>
        <v>0</v>
      </c>
      <c r="V83" s="106">
        <f t="shared" si="17"/>
        <v>0</v>
      </c>
      <c r="W83" s="141">
        <f t="shared" si="82"/>
        <v>0</v>
      </c>
      <c r="X83" s="63">
        <f>($L83+SUM($W83:W83))*(P$11*P83)</f>
        <v>27.50914487579906</v>
      </c>
      <c r="Y83" s="63">
        <f>($L83+SUM($W83:X83))*(Q$11*Q83)</f>
        <v>59.83729656575358</v>
      </c>
      <c r="Z83" s="63">
        <f>($L83+SUM($W83:Y83))*(R$11*R83)</f>
        <v>60.36517627792269</v>
      </c>
      <c r="AA83" s="63">
        <f>($L83+SUM($W83:Z83))*(S$11*S83)</f>
        <v>59.57384957757898</v>
      </c>
      <c r="AB83" s="63">
        <f>($L83+SUM($W83:AA83))*(T$11*T83)</f>
        <v>60.755624283126295</v>
      </c>
      <c r="AC83" s="63">
        <f>($L83+SUM($W83:AB83))*(U$11*U83)</f>
        <v>0</v>
      </c>
      <c r="AD83" s="63">
        <f>($L83+SUM($W83:AC83))*(V$11*V83)</f>
        <v>0</v>
      </c>
      <c r="AE83" s="110">
        <f t="shared" si="81"/>
        <v>268.0410915801806</v>
      </c>
    </row>
    <row r="84" spans="1:31" ht="12.75">
      <c r="A84" s="3">
        <v>5</v>
      </c>
      <c r="B84" s="15">
        <f t="shared" si="15"/>
        <v>42491</v>
      </c>
      <c r="C84" s="243">
        <f aca="true" t="shared" si="87" ref="C84:D103">+C72</f>
        <v>42524</v>
      </c>
      <c r="D84" s="243">
        <f t="shared" si="87"/>
        <v>42541</v>
      </c>
      <c r="E84" s="30" t="s">
        <v>117</v>
      </c>
      <c r="F84" s="3">
        <v>9</v>
      </c>
      <c r="G84" s="362">
        <v>118</v>
      </c>
      <c r="H84" s="246">
        <f t="shared" si="77"/>
        <v>1566.72</v>
      </c>
      <c r="I84" s="246">
        <f t="shared" si="66"/>
        <v>1652.23</v>
      </c>
      <c r="J84" s="56">
        <f t="shared" si="8"/>
        <v>194963.14</v>
      </c>
      <c r="K84" s="57">
        <f t="shared" si="83"/>
        <v>184872.96</v>
      </c>
      <c r="L84" s="58">
        <f t="shared" si="85"/>
        <v>10090.180000000022</v>
      </c>
      <c r="M84" s="55">
        <f t="shared" si="37"/>
        <v>368.7024916260148</v>
      </c>
      <c r="N84" s="29">
        <f t="shared" si="86"/>
        <v>10458.882491626036</v>
      </c>
      <c r="O84" s="16">
        <f t="shared" si="78"/>
        <v>0</v>
      </c>
      <c r="P84" s="16">
        <f t="shared" si="79"/>
        <v>11</v>
      </c>
      <c r="Q84" s="16">
        <f t="shared" si="80"/>
        <v>92</v>
      </c>
      <c r="R84" s="16">
        <f t="shared" si="76"/>
        <v>92</v>
      </c>
      <c r="S84" s="16">
        <f t="shared" si="76"/>
        <v>90</v>
      </c>
      <c r="T84" s="16">
        <f t="shared" si="76"/>
        <v>91</v>
      </c>
      <c r="U84" s="16">
        <f t="shared" si="76"/>
        <v>0</v>
      </c>
      <c r="V84" s="106">
        <f t="shared" si="17"/>
        <v>0</v>
      </c>
      <c r="W84" s="141">
        <f t="shared" si="82"/>
        <v>0</v>
      </c>
      <c r="X84" s="63">
        <f>($L84+SUM($W84:W84))*(P$11*P84)</f>
        <v>10.511295274885867</v>
      </c>
      <c r="Y84" s="63">
        <f>($L84+SUM($W84:X84))*(Q$11*Q84)</f>
        <v>89.10746841311015</v>
      </c>
      <c r="Z84" s="63">
        <f>($L84+SUM($W84:Y84))*(R$11*R84)</f>
        <v>89.89356717554911</v>
      </c>
      <c r="AA84" s="63">
        <f>($L84+SUM($W84:Z84))*(S$11*S84)</f>
        <v>88.71515299238422</v>
      </c>
      <c r="AB84" s="63">
        <f>($L84+SUM($W84:AA84))*(T$11*T84)</f>
        <v>90.4750077700855</v>
      </c>
      <c r="AC84" s="63">
        <f>($L84+SUM($W84:AB84))*(U$11*U84)</f>
        <v>0</v>
      </c>
      <c r="AD84" s="63">
        <f>($L84+SUM($W84:AC84))*(V$11*V84)</f>
        <v>0</v>
      </c>
      <c r="AE84" s="110">
        <f t="shared" si="81"/>
        <v>368.7024916260148</v>
      </c>
    </row>
    <row r="85" spans="1:31" ht="12.75">
      <c r="A85" s="3">
        <v>6</v>
      </c>
      <c r="B85" s="15">
        <f t="shared" si="15"/>
        <v>42522</v>
      </c>
      <c r="C85" s="243">
        <f t="shared" si="87"/>
        <v>42557</v>
      </c>
      <c r="D85" s="243">
        <f t="shared" si="87"/>
        <v>42572</v>
      </c>
      <c r="E85" s="30" t="s">
        <v>117</v>
      </c>
      <c r="F85" s="3">
        <v>9</v>
      </c>
      <c r="G85" s="362">
        <v>144</v>
      </c>
      <c r="H85" s="246">
        <f t="shared" si="77"/>
        <v>1566.72</v>
      </c>
      <c r="I85" s="246">
        <f t="shared" si="66"/>
        <v>1652.23</v>
      </c>
      <c r="J85" s="56">
        <f t="shared" si="8"/>
        <v>237921.12</v>
      </c>
      <c r="K85" s="57">
        <f t="shared" si="83"/>
        <v>225607.68</v>
      </c>
      <c r="L85" s="77">
        <f t="shared" si="85"/>
        <v>12313.440000000002</v>
      </c>
      <c r="M85" s="78">
        <f t="shared" si="37"/>
        <v>412.4213795665197</v>
      </c>
      <c r="N85" s="76">
        <f t="shared" si="86"/>
        <v>12725.861379566522</v>
      </c>
      <c r="O85" s="16">
        <f t="shared" si="78"/>
        <v>0</v>
      </c>
      <c r="P85" s="16">
        <f t="shared" si="79"/>
        <v>0</v>
      </c>
      <c r="Q85" s="16">
        <f t="shared" si="80"/>
        <v>72</v>
      </c>
      <c r="R85" s="16">
        <f t="shared" si="76"/>
        <v>92</v>
      </c>
      <c r="S85" s="16">
        <f t="shared" si="76"/>
        <v>90</v>
      </c>
      <c r="T85" s="16">
        <f t="shared" si="76"/>
        <v>91</v>
      </c>
      <c r="U85" s="16">
        <f t="shared" si="76"/>
        <v>0</v>
      </c>
      <c r="V85" s="106">
        <f t="shared" si="17"/>
        <v>0</v>
      </c>
      <c r="W85" s="141">
        <f t="shared" si="82"/>
        <v>0</v>
      </c>
      <c r="X85" s="63">
        <f>($L85+SUM($W85:W85))*(P$11*P85)</f>
        <v>0</v>
      </c>
      <c r="Y85" s="63">
        <f>($L85+SUM($W85:X85))*(Q$11*Q85)</f>
        <v>85.01333917808222</v>
      </c>
      <c r="Z85" s="63">
        <f>($L85+SUM($W85:Y85))*(R$11*R85)</f>
        <v>109.37813630726968</v>
      </c>
      <c r="AA85" s="63">
        <f>($L85+SUM($W85:Z85))*(S$11*S85)</f>
        <v>107.9442990350106</v>
      </c>
      <c r="AB85" s="63">
        <f>($L85+SUM($W85:AA85))*(T$11*T85)</f>
        <v>110.08560504615716</v>
      </c>
      <c r="AC85" s="63">
        <f>($L85+SUM($W85:AB85))*(U$11*U85)</f>
        <v>0</v>
      </c>
      <c r="AD85" s="63">
        <f>($L85+SUM($W85:AC85))*(V$11*V85)</f>
        <v>0</v>
      </c>
      <c r="AE85" s="110">
        <f t="shared" si="81"/>
        <v>412.4213795665197</v>
      </c>
    </row>
    <row r="86" spans="1:31" ht="12.75">
      <c r="A86" s="16">
        <v>7</v>
      </c>
      <c r="B86" s="15">
        <f t="shared" si="15"/>
        <v>42552</v>
      </c>
      <c r="C86" s="243">
        <f t="shared" si="87"/>
        <v>42585</v>
      </c>
      <c r="D86" s="243">
        <f t="shared" si="87"/>
        <v>42600</v>
      </c>
      <c r="E86" s="30" t="s">
        <v>117</v>
      </c>
      <c r="F86" s="3">
        <v>9</v>
      </c>
      <c r="G86" s="362">
        <v>149</v>
      </c>
      <c r="H86" s="246">
        <f aca="true" t="shared" si="88" ref="H86:H91">$K$8</f>
        <v>1623.7</v>
      </c>
      <c r="I86" s="246">
        <f t="shared" si="66"/>
        <v>1652.23</v>
      </c>
      <c r="J86" s="56">
        <f t="shared" si="8"/>
        <v>246182.27</v>
      </c>
      <c r="K86" s="74">
        <f t="shared" si="83"/>
        <v>241931.30000000002</v>
      </c>
      <c r="L86" s="77">
        <f t="shared" si="85"/>
        <v>4250.969999999972</v>
      </c>
      <c r="M86" s="75">
        <f aca="true" t="shared" si="89" ref="M86:M149">+AE86</f>
        <v>130.66530683444904</v>
      </c>
      <c r="N86" s="76">
        <f t="shared" si="86"/>
        <v>4381.6353068344215</v>
      </c>
      <c r="O86" s="16">
        <f t="shared" si="78"/>
        <v>0</v>
      </c>
      <c r="P86" s="16">
        <f t="shared" si="79"/>
        <v>0</v>
      </c>
      <c r="Q86" s="16">
        <f t="shared" si="80"/>
        <v>44</v>
      </c>
      <c r="R86" s="16">
        <f t="shared" si="76"/>
        <v>92</v>
      </c>
      <c r="S86" s="16">
        <f t="shared" si="76"/>
        <v>90</v>
      </c>
      <c r="T86" s="16">
        <f t="shared" si="76"/>
        <v>91</v>
      </c>
      <c r="U86" s="16">
        <f t="shared" si="76"/>
        <v>0</v>
      </c>
      <c r="V86" s="106">
        <f t="shared" si="17"/>
        <v>0</v>
      </c>
      <c r="W86" s="141">
        <f t="shared" si="82"/>
        <v>0</v>
      </c>
      <c r="X86" s="63">
        <f>($L86+SUM($W86:W86))*(P$11*P86)</f>
        <v>0</v>
      </c>
      <c r="Y86" s="63">
        <f>($L86+SUM($W86:X86))*(Q$11*Q86)</f>
        <v>17.93559945205468</v>
      </c>
      <c r="Z86" s="63">
        <f>($L86+SUM($W86:Y86))*(R$11*R86)</f>
        <v>37.65993432941241</v>
      </c>
      <c r="AA86" s="63">
        <f>($L86+SUM($W86:Z86))*(S$11*S86)</f>
        <v>37.1662504970179</v>
      </c>
      <c r="AB86" s="63">
        <f>($L86+SUM($W86:AA86))*(T$11*T86)</f>
        <v>37.90352255596407</v>
      </c>
      <c r="AC86" s="63">
        <f>($L86+SUM($W86:AB86))*(U$11*U86)</f>
        <v>0</v>
      </c>
      <c r="AD86" s="63">
        <f>($L86+SUM($W86:AC86))*(V$11*V86)</f>
        <v>0</v>
      </c>
      <c r="AE86" s="110">
        <f aca="true" t="shared" si="90" ref="AE86:AE91">SUM(W86:AD86)</f>
        <v>130.66530683444904</v>
      </c>
    </row>
    <row r="87" spans="1:31" ht="12.75">
      <c r="A87" s="3">
        <v>8</v>
      </c>
      <c r="B87" s="15">
        <f t="shared" si="15"/>
        <v>42583</v>
      </c>
      <c r="C87" s="243">
        <f t="shared" si="87"/>
        <v>42619</v>
      </c>
      <c r="D87" s="243">
        <f t="shared" si="87"/>
        <v>42634</v>
      </c>
      <c r="E87" s="30" t="s">
        <v>117</v>
      </c>
      <c r="F87" s="3">
        <v>9</v>
      </c>
      <c r="G87" s="362">
        <v>157</v>
      </c>
      <c r="H87" s="246">
        <f t="shared" si="88"/>
        <v>1623.7</v>
      </c>
      <c r="I87" s="246">
        <f t="shared" si="66"/>
        <v>1652.23</v>
      </c>
      <c r="J87" s="56">
        <f t="shared" si="8"/>
        <v>259400.11000000002</v>
      </c>
      <c r="K87" s="74">
        <f t="shared" si="83"/>
        <v>254920.9</v>
      </c>
      <c r="L87" s="77">
        <f t="shared" si="85"/>
        <v>4479.210000000021</v>
      </c>
      <c r="M87" s="75">
        <f t="shared" si="89"/>
        <v>122.69180619306198</v>
      </c>
      <c r="N87" s="76">
        <f t="shared" si="86"/>
        <v>4601.901806193083</v>
      </c>
      <c r="O87" s="16">
        <f t="shared" si="78"/>
        <v>0</v>
      </c>
      <c r="P87" s="16">
        <f t="shared" si="79"/>
        <v>0</v>
      </c>
      <c r="Q87" s="16">
        <f t="shared" si="80"/>
        <v>10</v>
      </c>
      <c r="R87" s="16">
        <f t="shared" si="76"/>
        <v>92</v>
      </c>
      <c r="S87" s="16">
        <f t="shared" si="76"/>
        <v>90</v>
      </c>
      <c r="T87" s="16">
        <f t="shared" si="76"/>
        <v>91</v>
      </c>
      <c r="U87" s="16">
        <f t="shared" si="76"/>
        <v>0</v>
      </c>
      <c r="V87" s="106">
        <f t="shared" si="17"/>
        <v>0</v>
      </c>
      <c r="W87" s="141">
        <f t="shared" si="82"/>
        <v>0</v>
      </c>
      <c r="X87" s="63">
        <f>($L87+SUM($W87:W87))*(P$11*P87)</f>
        <v>0</v>
      </c>
      <c r="Y87" s="63">
        <f>($L87+SUM($W87:X87))*(Q$11*Q87)</f>
        <v>4.29513287671235</v>
      </c>
      <c r="Z87" s="63">
        <f>($L87+SUM($W87:Y87))*(R$11*R87)</f>
        <v>39.55311377496735</v>
      </c>
      <c r="AA87" s="63">
        <f>($L87+SUM($W87:Z87))*(S$11*S87)</f>
        <v>39.03461226562427</v>
      </c>
      <c r="AB87" s="63">
        <f>($L87+SUM($W87:AA87))*(T$11*T87)</f>
        <v>39.80894727575802</v>
      </c>
      <c r="AC87" s="63">
        <f>($L87+SUM($W87:AB87))*(U$11*U87)</f>
        <v>0</v>
      </c>
      <c r="AD87" s="63">
        <f>($L87+SUM($W87:AC87))*(V$11*V87)</f>
        <v>0</v>
      </c>
      <c r="AE87" s="110">
        <f t="shared" si="90"/>
        <v>122.69180619306198</v>
      </c>
    </row>
    <row r="88" spans="1:31" ht="12.75">
      <c r="A88" s="3">
        <v>9</v>
      </c>
      <c r="B88" s="15">
        <f t="shared" si="15"/>
        <v>42614</v>
      </c>
      <c r="C88" s="243">
        <f t="shared" si="87"/>
        <v>42648</v>
      </c>
      <c r="D88" s="243">
        <f t="shared" si="87"/>
        <v>42663</v>
      </c>
      <c r="E88" s="30" t="s">
        <v>117</v>
      </c>
      <c r="F88" s="3">
        <v>9</v>
      </c>
      <c r="G88" s="362">
        <v>142</v>
      </c>
      <c r="H88" s="246">
        <f t="shared" si="88"/>
        <v>1623.7</v>
      </c>
      <c r="I88" s="246">
        <f t="shared" si="66"/>
        <v>1652.23</v>
      </c>
      <c r="J88" s="56">
        <f t="shared" si="8"/>
        <v>234616.66</v>
      </c>
      <c r="K88" s="74">
        <f t="shared" si="83"/>
        <v>230565.4</v>
      </c>
      <c r="L88" s="77">
        <f t="shared" si="85"/>
        <v>4051.2600000000093</v>
      </c>
      <c r="M88" s="75">
        <f t="shared" si="89"/>
        <v>99.47257794882256</v>
      </c>
      <c r="N88" s="76">
        <f t="shared" si="86"/>
        <v>4150.732577948832</v>
      </c>
      <c r="O88" s="16">
        <f t="shared" si="78"/>
        <v>0</v>
      </c>
      <c r="P88" s="16">
        <f t="shared" si="79"/>
        <v>0</v>
      </c>
      <c r="Q88" s="16">
        <f t="shared" si="80"/>
        <v>0</v>
      </c>
      <c r="R88" s="16">
        <f t="shared" si="76"/>
        <v>73</v>
      </c>
      <c r="S88" s="16">
        <f t="shared" si="76"/>
        <v>90</v>
      </c>
      <c r="T88" s="16">
        <f t="shared" si="76"/>
        <v>91</v>
      </c>
      <c r="U88" s="16">
        <f t="shared" si="76"/>
        <v>0</v>
      </c>
      <c r="V88" s="106">
        <f t="shared" si="17"/>
        <v>0</v>
      </c>
      <c r="W88" s="141">
        <f t="shared" si="82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28.35882000000007</v>
      </c>
      <c r="AA88" s="63">
        <f>($L88+SUM($W88:Z88))*(S$11*S88)</f>
        <v>35.207669268493234</v>
      </c>
      <c r="AB88" s="63">
        <f>($L88+SUM($W88:AA88))*(T$11*T88)</f>
        <v>35.90608868032926</v>
      </c>
      <c r="AC88" s="63">
        <f>($L88+SUM($W88:AB88))*(U$11*U88)</f>
        <v>0</v>
      </c>
      <c r="AD88" s="63">
        <f>($L88+SUM($W88:AC88))*(V$11*V88)</f>
        <v>0</v>
      </c>
      <c r="AE88" s="110">
        <f t="shared" si="90"/>
        <v>99.47257794882256</v>
      </c>
    </row>
    <row r="89" spans="1:31" ht="12.75">
      <c r="A89" s="16">
        <v>10</v>
      </c>
      <c r="B89" s="15">
        <f t="shared" si="15"/>
        <v>42644</v>
      </c>
      <c r="C89" s="243">
        <f t="shared" si="87"/>
        <v>42677</v>
      </c>
      <c r="D89" s="243">
        <f t="shared" si="87"/>
        <v>42692</v>
      </c>
      <c r="E89" s="30" t="s">
        <v>117</v>
      </c>
      <c r="F89" s="3">
        <v>9</v>
      </c>
      <c r="G89" s="362">
        <v>104</v>
      </c>
      <c r="H89" s="246">
        <f t="shared" si="88"/>
        <v>1623.7</v>
      </c>
      <c r="I89" s="246">
        <f t="shared" si="66"/>
        <v>1652.23</v>
      </c>
      <c r="J89" s="56">
        <f t="shared" si="8"/>
        <v>171831.92</v>
      </c>
      <c r="K89" s="74">
        <f t="shared" si="83"/>
        <v>168864.80000000002</v>
      </c>
      <c r="L89" s="77">
        <f t="shared" si="85"/>
        <v>2967.1199999999953</v>
      </c>
      <c r="M89" s="75">
        <f t="shared" si="89"/>
        <v>64.45829571968963</v>
      </c>
      <c r="N89" s="76">
        <f t="shared" si="86"/>
        <v>3031.578295719685</v>
      </c>
      <c r="O89" s="16">
        <f t="shared" si="78"/>
        <v>0</v>
      </c>
      <c r="P89" s="16">
        <f t="shared" si="79"/>
        <v>0</v>
      </c>
      <c r="Q89" s="16">
        <f t="shared" si="80"/>
        <v>0</v>
      </c>
      <c r="R89" s="16">
        <f t="shared" si="76"/>
        <v>44</v>
      </c>
      <c r="S89" s="16">
        <f t="shared" si="76"/>
        <v>90</v>
      </c>
      <c r="T89" s="16">
        <f t="shared" si="76"/>
        <v>91</v>
      </c>
      <c r="U89" s="16">
        <f t="shared" si="76"/>
        <v>0</v>
      </c>
      <c r="V89" s="106">
        <f t="shared" si="17"/>
        <v>0</v>
      </c>
      <c r="W89" s="141">
        <f t="shared" si="82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12.51880767123286</v>
      </c>
      <c r="AA89" s="63">
        <f>($L89+SUM($W89:Z89))*(S$11*S89)</f>
        <v>25.714691079902384</v>
      </c>
      <c r="AB89" s="63">
        <f>($L89+SUM($W89:AA89))*(T$11*T89)</f>
        <v>26.224796968554386</v>
      </c>
      <c r="AC89" s="63">
        <f>($L89+SUM($W89:AB89))*(U$11*U89)</f>
        <v>0</v>
      </c>
      <c r="AD89" s="63">
        <f>($L89+SUM($W89:AC89))*(V$11*V89)</f>
        <v>0</v>
      </c>
      <c r="AE89" s="110">
        <f t="shared" si="90"/>
        <v>64.45829571968963</v>
      </c>
    </row>
    <row r="90" spans="1:31" ht="12.75">
      <c r="A90" s="3">
        <v>11</v>
      </c>
      <c r="B90" s="15">
        <f t="shared" si="15"/>
        <v>42675</v>
      </c>
      <c r="C90" s="243">
        <f t="shared" si="87"/>
        <v>42709</v>
      </c>
      <c r="D90" s="243">
        <f t="shared" si="87"/>
        <v>42724</v>
      </c>
      <c r="E90" s="30" t="s">
        <v>117</v>
      </c>
      <c r="F90" s="3">
        <v>9</v>
      </c>
      <c r="G90" s="362">
        <v>87</v>
      </c>
      <c r="H90" s="246">
        <f t="shared" si="88"/>
        <v>1623.7</v>
      </c>
      <c r="I90" s="246">
        <f t="shared" si="66"/>
        <v>1652.23</v>
      </c>
      <c r="J90" s="56">
        <f t="shared" si="8"/>
        <v>143744.01</v>
      </c>
      <c r="K90" s="74">
        <f t="shared" si="83"/>
        <v>141261.9</v>
      </c>
      <c r="L90" s="77">
        <f t="shared" si="85"/>
        <v>2482.110000000015</v>
      </c>
      <c r="M90" s="75">
        <f t="shared" si="89"/>
        <v>46.172742032151895</v>
      </c>
      <c r="N90" s="76">
        <f t="shared" si="86"/>
        <v>2528.282742032167</v>
      </c>
      <c r="O90" s="16">
        <f t="shared" si="78"/>
        <v>0</v>
      </c>
      <c r="P90" s="16">
        <f t="shared" si="79"/>
        <v>0</v>
      </c>
      <c r="Q90" s="16">
        <f t="shared" si="80"/>
        <v>0</v>
      </c>
      <c r="R90" s="16">
        <f aca="true" t="shared" si="91" ref="R90:R113">IF($D90&lt;R$8,R$12,IF($D90&lt;S$8,S$8-$D90,0))</f>
        <v>12</v>
      </c>
      <c r="S90" s="16">
        <f aca="true" t="shared" si="92" ref="S90:U113">IF($D90&lt;S$8,S$12,IF($D90&lt;T$8,T$8-$D90,0))</f>
        <v>90</v>
      </c>
      <c r="T90" s="16">
        <f t="shared" si="92"/>
        <v>91</v>
      </c>
      <c r="U90" s="16">
        <f t="shared" si="92"/>
        <v>0</v>
      </c>
      <c r="V90" s="106">
        <f t="shared" si="17"/>
        <v>0</v>
      </c>
      <c r="W90" s="141">
        <f t="shared" si="82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2.8561265753424836</v>
      </c>
      <c r="AA90" s="63">
        <f>($L90+SUM($W90:Z90))*(S$11*S90)</f>
        <v>21.445598078664045</v>
      </c>
      <c r="AB90" s="63">
        <f>($L90+SUM($W90:AA90))*(T$11*T90)</f>
        <v>21.871017378145368</v>
      </c>
      <c r="AC90" s="63">
        <f>($L90+SUM($W90:AB90))*(U$11*U90)</f>
        <v>0</v>
      </c>
      <c r="AD90" s="63">
        <f>($L90+SUM($W90:AC90))*(V$11*V90)</f>
        <v>0</v>
      </c>
      <c r="AE90" s="110">
        <f t="shared" si="90"/>
        <v>46.172742032151895</v>
      </c>
    </row>
    <row r="91" spans="1:31" s="69" customFormat="1" ht="12.75">
      <c r="A91" s="3">
        <v>12</v>
      </c>
      <c r="B91" s="83">
        <f t="shared" si="15"/>
        <v>42705</v>
      </c>
      <c r="C91" s="243">
        <f t="shared" si="87"/>
        <v>42740</v>
      </c>
      <c r="D91" s="243">
        <f t="shared" si="87"/>
        <v>42755</v>
      </c>
      <c r="E91" s="84" t="s">
        <v>117</v>
      </c>
      <c r="F91" s="81">
        <v>9</v>
      </c>
      <c r="G91" s="363">
        <v>92</v>
      </c>
      <c r="H91" s="247">
        <f t="shared" si="88"/>
        <v>1623.7</v>
      </c>
      <c r="I91" s="247">
        <f t="shared" si="66"/>
        <v>1652.23</v>
      </c>
      <c r="J91" s="85">
        <f t="shared" si="8"/>
        <v>152005.16</v>
      </c>
      <c r="K91" s="86">
        <f t="shared" si="83"/>
        <v>149380.4</v>
      </c>
      <c r="L91" s="87">
        <f t="shared" si="85"/>
        <v>2624.7600000000093</v>
      </c>
      <c r="M91" s="88">
        <f t="shared" si="89"/>
        <v>40.9296026390769</v>
      </c>
      <c r="N91" s="89">
        <f t="shared" si="86"/>
        <v>2665.6896026390864</v>
      </c>
      <c r="O91" s="81">
        <f t="shared" si="78"/>
        <v>0</v>
      </c>
      <c r="P91" s="81">
        <f t="shared" si="79"/>
        <v>0</v>
      </c>
      <c r="Q91" s="81">
        <f t="shared" si="80"/>
        <v>0</v>
      </c>
      <c r="R91" s="81">
        <f t="shared" si="91"/>
        <v>0</v>
      </c>
      <c r="S91" s="81">
        <f t="shared" si="92"/>
        <v>71</v>
      </c>
      <c r="T91" s="81">
        <f t="shared" si="92"/>
        <v>91</v>
      </c>
      <c r="U91" s="81">
        <f t="shared" si="92"/>
        <v>0</v>
      </c>
      <c r="V91" s="107">
        <f t="shared" si="17"/>
        <v>0</v>
      </c>
      <c r="W91" s="142">
        <f t="shared" si="82"/>
        <v>0</v>
      </c>
      <c r="X91" s="90">
        <f>($L91+SUM($W91:W91))*(P$11*P91)</f>
        <v>0</v>
      </c>
      <c r="Y91" s="90">
        <f>($L91+SUM($W91:X91))*(Q$11*Q91)</f>
        <v>0</v>
      </c>
      <c r="Z91" s="90">
        <f>($L91+SUM($W91:Y91))*(R$11*R91)</f>
        <v>0</v>
      </c>
      <c r="AA91" s="90">
        <f>($L91+SUM($W91:Z91))*(S$11*S91)</f>
        <v>17.869941369863078</v>
      </c>
      <c r="AB91" s="90">
        <f>($L91+SUM($W91:AA91))*(T$11*T91)</f>
        <v>23.05966126921382</v>
      </c>
      <c r="AC91" s="90">
        <f>($L91+SUM($W91:AB91))*(U$11*U91)</f>
        <v>0</v>
      </c>
      <c r="AD91" s="90">
        <f>($L91+SUM($W91:AC91))*(V$11*V91)</f>
        <v>0</v>
      </c>
      <c r="AE91" s="111">
        <f t="shared" si="90"/>
        <v>40.9296026390769</v>
      </c>
    </row>
    <row r="92" spans="1:31" ht="12.75">
      <c r="A92" s="16">
        <v>1</v>
      </c>
      <c r="B92" s="15">
        <f t="shared" si="15"/>
        <v>42370</v>
      </c>
      <c r="C92" s="242">
        <f t="shared" si="87"/>
        <v>42403</v>
      </c>
      <c r="D92" s="242">
        <f t="shared" si="87"/>
        <v>42418</v>
      </c>
      <c r="E92" s="118" t="s">
        <v>144</v>
      </c>
      <c r="F92" s="16">
        <v>9</v>
      </c>
      <c r="G92" s="362">
        <v>9</v>
      </c>
      <c r="H92" s="246">
        <f aca="true" t="shared" si="93" ref="H92:H97">$K$3</f>
        <v>1566.72</v>
      </c>
      <c r="I92" s="246">
        <f t="shared" si="66"/>
        <v>1652.23</v>
      </c>
      <c r="J92" s="56">
        <f t="shared" si="8"/>
        <v>14870.07</v>
      </c>
      <c r="K92" s="57">
        <f t="shared" si="83"/>
        <v>14100.48</v>
      </c>
      <c r="L92" s="58">
        <f t="shared" si="85"/>
        <v>769.5900000000001</v>
      </c>
      <c r="M92" s="55">
        <f t="shared" si="89"/>
        <v>37.23611930124228</v>
      </c>
      <c r="N92" s="29">
        <f t="shared" si="86"/>
        <v>806.8261193012424</v>
      </c>
      <c r="O92" s="16">
        <f t="shared" si="78"/>
        <v>43</v>
      </c>
      <c r="P92" s="16">
        <f t="shared" si="79"/>
        <v>91</v>
      </c>
      <c r="Q92" s="16">
        <f t="shared" si="80"/>
        <v>92</v>
      </c>
      <c r="R92" s="16">
        <f t="shared" si="91"/>
        <v>92</v>
      </c>
      <c r="S92" s="16">
        <f t="shared" si="92"/>
        <v>90</v>
      </c>
      <c r="T92" s="16">
        <f t="shared" si="92"/>
        <v>91</v>
      </c>
      <c r="U92" s="16">
        <f t="shared" si="92"/>
        <v>0</v>
      </c>
      <c r="V92" s="106">
        <f>IF(W$8&lt;V$8,0,IF($D92&lt;V$8,V$12,IF($D92&lt;W$8,W$8-$D92,0)))</f>
        <v>0</v>
      </c>
      <c r="W92" s="141">
        <f>$L92*O$11*O92</f>
        <v>2.9465808904109596</v>
      </c>
      <c r="X92" s="63">
        <f>($L92+SUM($W92:W92))*(P$11*P92)</f>
        <v>6.657713198984971</v>
      </c>
      <c r="Y92" s="63">
        <f>($L92+SUM($W92:X92))*(Q$11*Q92)</f>
        <v>6.8739880190900156</v>
      </c>
      <c r="Z92" s="63">
        <f>($L92+SUM($W92:Y92))*(R$11*R92)</f>
        <v>6.934629776409111</v>
      </c>
      <c r="AA92" s="63">
        <f>($L92+SUM($W92:Z92))*(S$11*S92)</f>
        <v>6.84372376010252</v>
      </c>
      <c r="AB92" s="63">
        <f>($L92+SUM($W92:AA92))*(T$11*T92)</f>
        <v>6.979483656244706</v>
      </c>
      <c r="AC92" s="63">
        <f>($L92+SUM($W92:AB92))*(U$11*U92)</f>
        <v>0</v>
      </c>
      <c r="AD92" s="63">
        <f>($L92+SUM($W92:AC92))*(V$11*V92)</f>
        <v>0</v>
      </c>
      <c r="AE92" s="110">
        <f aca="true" t="shared" si="94" ref="AE92:AE97">SUM(W92:AD92)</f>
        <v>37.23611930124228</v>
      </c>
    </row>
    <row r="93" spans="1:31" ht="12.75">
      <c r="A93" s="3">
        <v>2</v>
      </c>
      <c r="B93" s="15">
        <f t="shared" si="15"/>
        <v>42401</v>
      </c>
      <c r="C93" s="243">
        <f t="shared" si="87"/>
        <v>42432</v>
      </c>
      <c r="D93" s="243">
        <f t="shared" si="87"/>
        <v>42447</v>
      </c>
      <c r="E93" s="70" t="s">
        <v>144</v>
      </c>
      <c r="F93" s="3">
        <v>9</v>
      </c>
      <c r="G93" s="362">
        <v>11</v>
      </c>
      <c r="H93" s="246">
        <f t="shared" si="93"/>
        <v>1566.72</v>
      </c>
      <c r="I93" s="246">
        <f t="shared" si="66"/>
        <v>1652.23</v>
      </c>
      <c r="J93" s="56">
        <f t="shared" si="8"/>
        <v>18174.53</v>
      </c>
      <c r="K93" s="57">
        <f t="shared" si="83"/>
        <v>17233.920000000002</v>
      </c>
      <c r="L93" s="58">
        <f t="shared" si="85"/>
        <v>940.609999999997</v>
      </c>
      <c r="M93" s="55">
        <f t="shared" si="89"/>
        <v>42.97417162950378</v>
      </c>
      <c r="N93" s="29">
        <f t="shared" si="86"/>
        <v>983.5841716295007</v>
      </c>
      <c r="O93" s="16">
        <f t="shared" si="78"/>
        <v>14</v>
      </c>
      <c r="P93" s="16">
        <f t="shared" si="79"/>
        <v>91</v>
      </c>
      <c r="Q93" s="16">
        <f t="shared" si="80"/>
        <v>92</v>
      </c>
      <c r="R93" s="16">
        <f t="shared" si="91"/>
        <v>92</v>
      </c>
      <c r="S93" s="16">
        <f t="shared" si="92"/>
        <v>90</v>
      </c>
      <c r="T93" s="16">
        <f t="shared" si="92"/>
        <v>91</v>
      </c>
      <c r="U93" s="16">
        <f t="shared" si="92"/>
        <v>0</v>
      </c>
      <c r="V93" s="106">
        <f aca="true" t="shared" si="95" ref="V93:V103">IF(W$8&lt;V$8,0,IF($D93&lt;V$8,V$12,IF($D93&lt;W$8,W$8-$D93,0)))</f>
        <v>0</v>
      </c>
      <c r="W93" s="141">
        <f aca="true" t="shared" si="96" ref="W93:W103">$L93*O$11*O93</f>
        <v>1.1725412328767086</v>
      </c>
      <c r="X93" s="63">
        <f>($L93+SUM($W93:W93))*(P$11*P93)</f>
        <v>8.116273339591105</v>
      </c>
      <c r="Y93" s="63">
        <f>($L93+SUM($W93:X93))*(Q$11*Q93)</f>
        <v>8.379929268283115</v>
      </c>
      <c r="Z93" s="63">
        <f>($L93+SUM($W93:Y93))*(R$11*R93)</f>
        <v>8.453856315526599</v>
      </c>
      <c r="AA93" s="63">
        <f>($L93+SUM($W93:Z93))*(S$11*S93)</f>
        <v>8.343034768471957</v>
      </c>
      <c r="AB93" s="63">
        <f>($L93+SUM($W93:AA93))*(T$11*T93)</f>
        <v>8.508536704754293</v>
      </c>
      <c r="AC93" s="63">
        <f>($L93+SUM($W93:AB93))*(U$11*U93)</f>
        <v>0</v>
      </c>
      <c r="AD93" s="63">
        <f>($L93+SUM($W93:AC93))*(V$11*V93)</f>
        <v>0</v>
      </c>
      <c r="AE93" s="110">
        <f t="shared" si="94"/>
        <v>42.97417162950378</v>
      </c>
    </row>
    <row r="94" spans="1:31" ht="12.75">
      <c r="A94" s="3">
        <v>3</v>
      </c>
      <c r="B94" s="15">
        <f t="shared" si="15"/>
        <v>42430</v>
      </c>
      <c r="C94" s="243">
        <f t="shared" si="87"/>
        <v>42465</v>
      </c>
      <c r="D94" s="243">
        <f t="shared" si="87"/>
        <v>42480</v>
      </c>
      <c r="E94" s="70" t="s">
        <v>144</v>
      </c>
      <c r="F94" s="3">
        <v>9</v>
      </c>
      <c r="G94" s="362">
        <v>13</v>
      </c>
      <c r="H94" s="246">
        <f t="shared" si="93"/>
        <v>1566.72</v>
      </c>
      <c r="I94" s="246">
        <f t="shared" si="66"/>
        <v>1652.23</v>
      </c>
      <c r="J94" s="56">
        <f t="shared" si="8"/>
        <v>21478.99</v>
      </c>
      <c r="K94" s="57">
        <f t="shared" si="83"/>
        <v>20367.36</v>
      </c>
      <c r="L94" s="58">
        <f>+J94-K94</f>
        <v>1111.630000000001</v>
      </c>
      <c r="M94" s="55">
        <f t="shared" si="89"/>
        <v>47.2692648956309</v>
      </c>
      <c r="N94" s="29">
        <f>SUM(L94:M94)</f>
        <v>1158.8992648956319</v>
      </c>
      <c r="O94" s="16">
        <f t="shared" si="78"/>
        <v>0</v>
      </c>
      <c r="P94" s="16">
        <f t="shared" si="79"/>
        <v>72</v>
      </c>
      <c r="Q94" s="16">
        <f t="shared" si="80"/>
        <v>92</v>
      </c>
      <c r="R94" s="16">
        <f t="shared" si="91"/>
        <v>92</v>
      </c>
      <c r="S94" s="16">
        <f t="shared" si="92"/>
        <v>90</v>
      </c>
      <c r="T94" s="16">
        <f t="shared" si="92"/>
        <v>91</v>
      </c>
      <c r="U94" s="16">
        <f t="shared" si="92"/>
        <v>0</v>
      </c>
      <c r="V94" s="106">
        <f t="shared" si="95"/>
        <v>0</v>
      </c>
      <c r="W94" s="141">
        <f t="shared" si="96"/>
        <v>0</v>
      </c>
      <c r="X94" s="63">
        <f>($L94+SUM($W94:W94))*(P$11*P94)</f>
        <v>7.579793819178089</v>
      </c>
      <c r="Y94" s="63">
        <f>($L94+SUM($W94:X94))*(Q$11*Q94)</f>
        <v>9.873576811226732</v>
      </c>
      <c r="Z94" s="63">
        <f>($L94+SUM($W94:Y94))*(R$11*R94)</f>
        <v>9.960680694328513</v>
      </c>
      <c r="AA94" s="63">
        <f>($L94+SUM($W94:Z94))*(S$11*S94)</f>
        <v>9.830106196364145</v>
      </c>
      <c r="AB94" s="63">
        <f>($L94+SUM($W94:AA94))*(T$11*T94)</f>
        <v>10.025107374533421</v>
      </c>
      <c r="AC94" s="63">
        <f>($L94+SUM($W94:AB94))*(U$11*U94)</f>
        <v>0</v>
      </c>
      <c r="AD94" s="63">
        <f>($L94+SUM($W94:AC94))*(V$11*V94)</f>
        <v>0</v>
      </c>
      <c r="AE94" s="110">
        <f t="shared" si="94"/>
        <v>47.2692648956309</v>
      </c>
    </row>
    <row r="95" spans="1:31" ht="12.75">
      <c r="A95" s="16">
        <v>4</v>
      </c>
      <c r="B95" s="15">
        <f t="shared" si="15"/>
        <v>42461</v>
      </c>
      <c r="C95" s="243">
        <f t="shared" si="87"/>
        <v>42494</v>
      </c>
      <c r="D95" s="243">
        <f t="shared" si="87"/>
        <v>42509</v>
      </c>
      <c r="E95" s="30" t="s">
        <v>144</v>
      </c>
      <c r="F95" s="3">
        <v>9</v>
      </c>
      <c r="G95" s="362">
        <v>24</v>
      </c>
      <c r="H95" s="246">
        <f t="shared" si="93"/>
        <v>1566.72</v>
      </c>
      <c r="I95" s="246">
        <f t="shared" si="66"/>
        <v>1652.23</v>
      </c>
      <c r="J95" s="56">
        <f t="shared" si="8"/>
        <v>39653.520000000004</v>
      </c>
      <c r="K95" s="57">
        <f t="shared" si="83"/>
        <v>37601.28</v>
      </c>
      <c r="L95" s="58">
        <f aca="true" t="shared" si="97" ref="L95:L105">+J95-K95</f>
        <v>2052.2400000000052</v>
      </c>
      <c r="M95" s="55">
        <f t="shared" si="89"/>
        <v>81.43020503701717</v>
      </c>
      <c r="N95" s="29">
        <f aca="true" t="shared" si="98" ref="N95:N105">SUM(L95:M95)</f>
        <v>2133.6702050370222</v>
      </c>
      <c r="O95" s="16">
        <f t="shared" si="78"/>
        <v>0</v>
      </c>
      <c r="P95" s="16">
        <f t="shared" si="79"/>
        <v>43</v>
      </c>
      <c r="Q95" s="16">
        <f t="shared" si="80"/>
        <v>92</v>
      </c>
      <c r="R95" s="16">
        <f t="shared" si="91"/>
        <v>92</v>
      </c>
      <c r="S95" s="16">
        <f t="shared" si="92"/>
        <v>90</v>
      </c>
      <c r="T95" s="16">
        <f t="shared" si="92"/>
        <v>91</v>
      </c>
      <c r="U95" s="16">
        <f t="shared" si="92"/>
        <v>0</v>
      </c>
      <c r="V95" s="106">
        <f t="shared" si="95"/>
        <v>0</v>
      </c>
      <c r="W95" s="141">
        <f t="shared" si="96"/>
        <v>0</v>
      </c>
      <c r="X95" s="63">
        <f>($L95+SUM($W95:W95))*(P$11*P95)</f>
        <v>8.357208569863035</v>
      </c>
      <c r="Y95" s="63">
        <f>($L95+SUM($W95:X95))*(Q$11*Q95)</f>
        <v>18.17841920984925</v>
      </c>
      <c r="Z95" s="63">
        <f>($L95+SUM($W95:Y95))*(R$11*R95)</f>
        <v>18.338787730001894</v>
      </c>
      <c r="AA95" s="63">
        <f>($L95+SUM($W95:Z95))*(S$11*S95)</f>
        <v>18.09838468179621</v>
      </c>
      <c r="AB95" s="63">
        <f>($L95+SUM($W95:AA95))*(T$11*T95)</f>
        <v>18.457404845506787</v>
      </c>
      <c r="AC95" s="63">
        <f>($L95+SUM($W95:AB95))*(U$11*U95)</f>
        <v>0</v>
      </c>
      <c r="AD95" s="63">
        <f>($L95+SUM($W95:AC95))*(V$11*V95)</f>
        <v>0</v>
      </c>
      <c r="AE95" s="110">
        <f t="shared" si="94"/>
        <v>81.43020503701717</v>
      </c>
    </row>
    <row r="96" spans="1:31" ht="12.75">
      <c r="A96" s="3">
        <v>5</v>
      </c>
      <c r="B96" s="15">
        <f t="shared" si="15"/>
        <v>42491</v>
      </c>
      <c r="C96" s="243">
        <f t="shared" si="87"/>
        <v>42524</v>
      </c>
      <c r="D96" s="243">
        <f t="shared" si="87"/>
        <v>42541</v>
      </c>
      <c r="E96" s="30" t="s">
        <v>144</v>
      </c>
      <c r="F96" s="3">
        <v>9</v>
      </c>
      <c r="G96" s="362">
        <v>21</v>
      </c>
      <c r="H96" s="246">
        <f t="shared" si="93"/>
        <v>1566.72</v>
      </c>
      <c r="I96" s="246">
        <f aca="true" t="shared" si="99" ref="I96:I127">$J$3</f>
        <v>1652.23</v>
      </c>
      <c r="J96" s="56">
        <f t="shared" si="8"/>
        <v>34696.83</v>
      </c>
      <c r="K96" s="57">
        <f t="shared" si="83"/>
        <v>32901.12</v>
      </c>
      <c r="L96" s="58">
        <f t="shared" si="97"/>
        <v>1795.7099999999991</v>
      </c>
      <c r="M96" s="55">
        <f t="shared" si="89"/>
        <v>65.61654511988382</v>
      </c>
      <c r="N96" s="29">
        <f t="shared" si="98"/>
        <v>1861.326545119883</v>
      </c>
      <c r="O96" s="16">
        <f t="shared" si="78"/>
        <v>0</v>
      </c>
      <c r="P96" s="16">
        <f t="shared" si="79"/>
        <v>11</v>
      </c>
      <c r="Q96" s="16">
        <f t="shared" si="80"/>
        <v>92</v>
      </c>
      <c r="R96" s="16">
        <f t="shared" si="91"/>
        <v>92</v>
      </c>
      <c r="S96" s="16">
        <f t="shared" si="92"/>
        <v>90</v>
      </c>
      <c r="T96" s="16">
        <f t="shared" si="92"/>
        <v>91</v>
      </c>
      <c r="U96" s="16">
        <f t="shared" si="92"/>
        <v>0</v>
      </c>
      <c r="V96" s="106">
        <f t="shared" si="95"/>
        <v>0</v>
      </c>
      <c r="W96" s="141">
        <f t="shared" si="96"/>
        <v>0</v>
      </c>
      <c r="X96" s="63">
        <f>($L96+SUM($W96:W96))*(P$11*P96)</f>
        <v>1.8706542438356155</v>
      </c>
      <c r="Y96" s="63">
        <f>($L96+SUM($W96:X96))*(Q$11*Q96)</f>
        <v>15.858108785383969</v>
      </c>
      <c r="Z96" s="63">
        <f>($L96+SUM($W96:Y96))*(R$11*R96)</f>
        <v>15.998007717682425</v>
      </c>
      <c r="AA96" s="63">
        <f>($L96+SUM($W96:Z96))*(S$11*S96)</f>
        <v>15.788289939322572</v>
      </c>
      <c r="AB96" s="63">
        <f>($L96+SUM($W96:AA96))*(T$11*T96)</f>
        <v>16.10148443365924</v>
      </c>
      <c r="AC96" s="63">
        <f>($L96+SUM($W96:AB96))*(U$11*U96)</f>
        <v>0</v>
      </c>
      <c r="AD96" s="63">
        <f>($L96+SUM($W96:AC96))*(V$11*V96)</f>
        <v>0</v>
      </c>
      <c r="AE96" s="110">
        <f t="shared" si="94"/>
        <v>65.61654511988382</v>
      </c>
    </row>
    <row r="97" spans="1:31" ht="12.75">
      <c r="A97" s="3">
        <v>6</v>
      </c>
      <c r="B97" s="15">
        <f aca="true" t="shared" si="100" ref="B97:B160">DATE($N$1,A97,1)</f>
        <v>42522</v>
      </c>
      <c r="C97" s="243">
        <f t="shared" si="87"/>
        <v>42557</v>
      </c>
      <c r="D97" s="243">
        <f t="shared" si="87"/>
        <v>42572</v>
      </c>
      <c r="E97" s="30" t="s">
        <v>144</v>
      </c>
      <c r="F97" s="3">
        <v>9</v>
      </c>
      <c r="G97" s="362">
        <v>22</v>
      </c>
      <c r="H97" s="246">
        <f t="shared" si="93"/>
        <v>1566.72</v>
      </c>
      <c r="I97" s="246">
        <f t="shared" si="99"/>
        <v>1652.23</v>
      </c>
      <c r="J97" s="56">
        <f aca="true" t="shared" si="101" ref="J97:J160">+$G97*I97</f>
        <v>36349.06</v>
      </c>
      <c r="K97" s="57">
        <f t="shared" si="83"/>
        <v>34467.840000000004</v>
      </c>
      <c r="L97" s="77">
        <f t="shared" si="97"/>
        <v>1881.219999999994</v>
      </c>
      <c r="M97" s="78">
        <f t="shared" si="89"/>
        <v>63.00882187821807</v>
      </c>
      <c r="N97" s="76">
        <f t="shared" si="98"/>
        <v>1944.2288218782119</v>
      </c>
      <c r="O97" s="16">
        <f aca="true" t="shared" si="102" ref="O97:U97">IF($D97&lt;O$8,O$12,IF($D97&lt;P$8,P$8-$D97,0))</f>
        <v>0</v>
      </c>
      <c r="P97" s="16">
        <f t="shared" si="102"/>
        <v>0</v>
      </c>
      <c r="Q97" s="16">
        <f t="shared" si="102"/>
        <v>72</v>
      </c>
      <c r="R97" s="16">
        <f t="shared" si="102"/>
        <v>92</v>
      </c>
      <c r="S97" s="16">
        <f t="shared" si="102"/>
        <v>90</v>
      </c>
      <c r="T97" s="16">
        <f t="shared" si="102"/>
        <v>91</v>
      </c>
      <c r="U97" s="16">
        <f t="shared" si="102"/>
        <v>0</v>
      </c>
      <c r="V97" s="106">
        <f>IF(W$8&lt;V$8,0,IF($D97&lt;V$8,V$12,IF($D97&lt;W$8,W$8-$D97,0)))</f>
        <v>0</v>
      </c>
      <c r="W97" s="141">
        <f>$L97*O$11*O97</f>
        <v>0</v>
      </c>
      <c r="X97" s="63">
        <f>($L97+SUM($W97:W97))*(P$11*P97)</f>
        <v>0</v>
      </c>
      <c r="Y97" s="63">
        <f>($L97+SUM($W97:X97))*(Q$11*Q97)</f>
        <v>12.98814904109585</v>
      </c>
      <c r="Z97" s="63">
        <f>($L97+SUM($W97:Y97))*(R$11*R97)</f>
        <v>16.71054860249948</v>
      </c>
      <c r="AA97" s="63">
        <f>($L97+SUM($W97:Z97))*(S$11*S97)</f>
        <v>16.491490130348783</v>
      </c>
      <c r="AB97" s="63">
        <f>($L97+SUM($W97:AA97))*(T$11*T97)</f>
        <v>16.818634104273954</v>
      </c>
      <c r="AC97" s="63">
        <f>($L97+SUM($W97:AB97))*(U$11*U97)</f>
        <v>0</v>
      </c>
      <c r="AD97" s="63">
        <f>($L97+SUM($W97:AC97))*(V$11*V97)</f>
        <v>0</v>
      </c>
      <c r="AE97" s="110">
        <f t="shared" si="94"/>
        <v>63.00882187821807</v>
      </c>
    </row>
    <row r="98" spans="1:31" ht="12.75">
      <c r="A98" s="16">
        <v>7</v>
      </c>
      <c r="B98" s="15">
        <f t="shared" si="100"/>
        <v>42552</v>
      </c>
      <c r="C98" s="243">
        <f t="shared" si="87"/>
        <v>42585</v>
      </c>
      <c r="D98" s="243">
        <f t="shared" si="87"/>
        <v>42600</v>
      </c>
      <c r="E98" s="30" t="s">
        <v>144</v>
      </c>
      <c r="F98" s="3">
        <v>9</v>
      </c>
      <c r="G98" s="362">
        <v>12</v>
      </c>
      <c r="H98" s="246">
        <f aca="true" t="shared" si="103" ref="H98:H103">$K$8</f>
        <v>1623.7</v>
      </c>
      <c r="I98" s="246">
        <f t="shared" si="99"/>
        <v>1652.23</v>
      </c>
      <c r="J98" s="56">
        <f t="shared" si="101"/>
        <v>19826.760000000002</v>
      </c>
      <c r="K98" s="74">
        <f t="shared" si="83"/>
        <v>19484.4</v>
      </c>
      <c r="L98" s="77">
        <f t="shared" si="97"/>
        <v>342.3600000000006</v>
      </c>
      <c r="M98" s="75">
        <f t="shared" si="89"/>
        <v>10.523380416197327</v>
      </c>
      <c r="N98" s="76">
        <f t="shared" si="98"/>
        <v>352.8833804161979</v>
      </c>
      <c r="O98" s="16">
        <f t="shared" si="78"/>
        <v>0</v>
      </c>
      <c r="P98" s="16">
        <f t="shared" si="79"/>
        <v>0</v>
      </c>
      <c r="Q98" s="16">
        <f t="shared" si="80"/>
        <v>44</v>
      </c>
      <c r="R98" s="16">
        <f t="shared" si="91"/>
        <v>92</v>
      </c>
      <c r="S98" s="16">
        <f t="shared" si="92"/>
        <v>90</v>
      </c>
      <c r="T98" s="16">
        <f t="shared" si="92"/>
        <v>91</v>
      </c>
      <c r="U98" s="16">
        <f t="shared" si="92"/>
        <v>0</v>
      </c>
      <c r="V98" s="106">
        <f t="shared" si="95"/>
        <v>0</v>
      </c>
      <c r="W98" s="141">
        <f t="shared" si="96"/>
        <v>0</v>
      </c>
      <c r="X98" s="63">
        <f>($L98+SUM($W98:W98))*(P$11*P98)</f>
        <v>0</v>
      </c>
      <c r="Y98" s="63">
        <f>($L98+SUM($W98:X98))*(Q$11*Q98)</f>
        <v>1.444477808219181</v>
      </c>
      <c r="Z98" s="63">
        <f>($L98+SUM($W98:Y98))*(R$11*R98)</f>
        <v>3.0330148453218295</v>
      </c>
      <c r="AA98" s="63">
        <f>($L98+SUM($W98:Z98))*(S$11*S98)</f>
        <v>2.993255073585359</v>
      </c>
      <c r="AB98" s="63">
        <f>($L98+SUM($W98:AA98))*(T$11*T98)</f>
        <v>3.052632689070957</v>
      </c>
      <c r="AC98" s="63">
        <f>($L98+SUM($W98:AB98))*(U$11*U98)</f>
        <v>0</v>
      </c>
      <c r="AD98" s="63">
        <f>($L98+SUM($W98:AC98))*(V$11*V98)</f>
        <v>0</v>
      </c>
      <c r="AE98" s="110">
        <f aca="true" t="shared" si="104" ref="AE98:AE103">SUM(W98:AD98)</f>
        <v>10.523380416197327</v>
      </c>
    </row>
    <row r="99" spans="1:31" ht="12.75">
      <c r="A99" s="3">
        <v>8</v>
      </c>
      <c r="B99" s="15">
        <f t="shared" si="100"/>
        <v>42583</v>
      </c>
      <c r="C99" s="243">
        <f t="shared" si="87"/>
        <v>42619</v>
      </c>
      <c r="D99" s="243">
        <f t="shared" si="87"/>
        <v>42634</v>
      </c>
      <c r="E99" s="30" t="s">
        <v>144</v>
      </c>
      <c r="F99" s="3">
        <v>9</v>
      </c>
      <c r="G99" s="362">
        <v>13</v>
      </c>
      <c r="H99" s="246">
        <f t="shared" si="103"/>
        <v>1623.7</v>
      </c>
      <c r="I99" s="246">
        <f t="shared" si="99"/>
        <v>1652.23</v>
      </c>
      <c r="J99" s="56">
        <f t="shared" si="101"/>
        <v>21478.99</v>
      </c>
      <c r="K99" s="74">
        <f t="shared" si="83"/>
        <v>21108.100000000002</v>
      </c>
      <c r="L99" s="77">
        <f t="shared" si="97"/>
        <v>370.8899999999994</v>
      </c>
      <c r="M99" s="75">
        <f t="shared" si="89"/>
        <v>10.159194143374497</v>
      </c>
      <c r="N99" s="76">
        <f t="shared" si="98"/>
        <v>381.04919414337394</v>
      </c>
      <c r="O99" s="16">
        <f t="shared" si="78"/>
        <v>0</v>
      </c>
      <c r="P99" s="16">
        <f t="shared" si="79"/>
        <v>0</v>
      </c>
      <c r="Q99" s="16">
        <f t="shared" si="80"/>
        <v>10</v>
      </c>
      <c r="R99" s="16">
        <f t="shared" si="91"/>
        <v>92</v>
      </c>
      <c r="S99" s="16">
        <f t="shared" si="92"/>
        <v>90</v>
      </c>
      <c r="T99" s="16">
        <f t="shared" si="92"/>
        <v>91</v>
      </c>
      <c r="U99" s="16">
        <f t="shared" si="92"/>
        <v>0</v>
      </c>
      <c r="V99" s="106">
        <f t="shared" si="95"/>
        <v>0</v>
      </c>
      <c r="W99" s="141">
        <f t="shared" si="96"/>
        <v>0</v>
      </c>
      <c r="X99" s="63">
        <f>($L99+SUM($W99:W99))*(P$11*P99)</f>
        <v>0</v>
      </c>
      <c r="Y99" s="63">
        <f>($L99+SUM($W99:X99))*(Q$11*Q99)</f>
        <v>0.35564794520547893</v>
      </c>
      <c r="Z99" s="63">
        <f>($L99+SUM($W99:Y99))*(R$11*R99)</f>
        <v>3.275098592831671</v>
      </c>
      <c r="AA99" s="63">
        <f>($L99+SUM($W99:Z99))*(S$11*S99)</f>
        <v>3.2321653468351106</v>
      </c>
      <c r="AB99" s="63">
        <f>($L99+SUM($W99:AA99))*(T$11*T99)</f>
        <v>3.296282258502236</v>
      </c>
      <c r="AC99" s="63">
        <f>($L99+SUM($W99:AB99))*(U$11*U99)</f>
        <v>0</v>
      </c>
      <c r="AD99" s="63">
        <f>($L99+SUM($W99:AC99))*(V$11*V99)</f>
        <v>0</v>
      </c>
      <c r="AE99" s="110">
        <f t="shared" si="104"/>
        <v>10.159194143374497</v>
      </c>
    </row>
    <row r="100" spans="1:31" ht="12.75">
      <c r="A100" s="3">
        <v>9</v>
      </c>
      <c r="B100" s="15">
        <f t="shared" si="100"/>
        <v>42614</v>
      </c>
      <c r="C100" s="243">
        <f t="shared" si="87"/>
        <v>42648</v>
      </c>
      <c r="D100" s="243">
        <f t="shared" si="87"/>
        <v>42663</v>
      </c>
      <c r="E100" s="30" t="s">
        <v>144</v>
      </c>
      <c r="F100" s="3">
        <v>9</v>
      </c>
      <c r="G100" s="362">
        <v>17</v>
      </c>
      <c r="H100" s="246">
        <f t="shared" si="103"/>
        <v>1623.7</v>
      </c>
      <c r="I100" s="246">
        <f t="shared" si="99"/>
        <v>1652.23</v>
      </c>
      <c r="J100" s="56">
        <f t="shared" si="101"/>
        <v>28087.91</v>
      </c>
      <c r="K100" s="74">
        <f t="shared" si="83"/>
        <v>27602.9</v>
      </c>
      <c r="L100" s="77">
        <f t="shared" si="97"/>
        <v>485.0099999999984</v>
      </c>
      <c r="M100" s="75">
        <f t="shared" si="89"/>
        <v>11.908688909366015</v>
      </c>
      <c r="N100" s="76">
        <f t="shared" si="98"/>
        <v>496.9186889093644</v>
      </c>
      <c r="O100" s="16">
        <f t="shared" si="78"/>
        <v>0</v>
      </c>
      <c r="P100" s="16">
        <f t="shared" si="79"/>
        <v>0</v>
      </c>
      <c r="Q100" s="16">
        <f t="shared" si="80"/>
        <v>0</v>
      </c>
      <c r="R100" s="16">
        <f t="shared" si="91"/>
        <v>73</v>
      </c>
      <c r="S100" s="16">
        <f t="shared" si="92"/>
        <v>90</v>
      </c>
      <c r="T100" s="16">
        <f t="shared" si="92"/>
        <v>91</v>
      </c>
      <c r="U100" s="16">
        <f t="shared" si="92"/>
        <v>0</v>
      </c>
      <c r="V100" s="106">
        <f t="shared" si="95"/>
        <v>0</v>
      </c>
      <c r="W100" s="141">
        <f t="shared" si="96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3.3950699999999894</v>
      </c>
      <c r="AA100" s="63">
        <f>($L100+SUM($W100:Z100))*(S$11*S100)</f>
        <v>4.215002658904096</v>
      </c>
      <c r="AB100" s="63">
        <f>($L100+SUM($W100:AA100))*(T$11*T100)</f>
        <v>4.298616250461929</v>
      </c>
      <c r="AC100" s="63">
        <f>($L100+SUM($W100:AB100))*(U$11*U100)</f>
        <v>0</v>
      </c>
      <c r="AD100" s="63">
        <f>($L100+SUM($W100:AC100))*(V$11*V100)</f>
        <v>0</v>
      </c>
      <c r="AE100" s="110">
        <f t="shared" si="104"/>
        <v>11.908688909366015</v>
      </c>
    </row>
    <row r="101" spans="1:31" ht="12.75">
      <c r="A101" s="16">
        <v>10</v>
      </c>
      <c r="B101" s="15">
        <f t="shared" si="100"/>
        <v>42644</v>
      </c>
      <c r="C101" s="243">
        <f t="shared" si="87"/>
        <v>42677</v>
      </c>
      <c r="D101" s="243">
        <f t="shared" si="87"/>
        <v>42692</v>
      </c>
      <c r="E101" s="30" t="s">
        <v>144</v>
      </c>
      <c r="F101" s="3">
        <v>9</v>
      </c>
      <c r="G101" s="362">
        <v>16</v>
      </c>
      <c r="H101" s="246">
        <f t="shared" si="103"/>
        <v>1623.7</v>
      </c>
      <c r="I101" s="246">
        <f t="shared" si="99"/>
        <v>1652.23</v>
      </c>
      <c r="J101" s="56">
        <f t="shared" si="101"/>
        <v>26435.68</v>
      </c>
      <c r="K101" s="74">
        <f t="shared" si="83"/>
        <v>25979.2</v>
      </c>
      <c r="L101" s="77">
        <f t="shared" si="97"/>
        <v>456.47999999999956</v>
      </c>
      <c r="M101" s="75">
        <f t="shared" si="89"/>
        <v>9.916660879952257</v>
      </c>
      <c r="N101" s="76">
        <f t="shared" si="98"/>
        <v>466.3966608799518</v>
      </c>
      <c r="O101" s="16">
        <f t="shared" si="78"/>
        <v>0</v>
      </c>
      <c r="P101" s="16">
        <f t="shared" si="79"/>
        <v>0</v>
      </c>
      <c r="Q101" s="16">
        <f t="shared" si="80"/>
        <v>0</v>
      </c>
      <c r="R101" s="16">
        <f t="shared" si="91"/>
        <v>44</v>
      </c>
      <c r="S101" s="16">
        <f t="shared" si="92"/>
        <v>90</v>
      </c>
      <c r="T101" s="16">
        <f t="shared" si="92"/>
        <v>91</v>
      </c>
      <c r="U101" s="16">
        <f t="shared" si="92"/>
        <v>0</v>
      </c>
      <c r="V101" s="106">
        <f t="shared" si="95"/>
        <v>0</v>
      </c>
      <c r="W101" s="141">
        <f t="shared" si="96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1.9259704109589026</v>
      </c>
      <c r="AA101" s="63">
        <f>($L101+SUM($W101:Z101))*(S$11*S101)</f>
        <v>3.956106319984984</v>
      </c>
      <c r="AB101" s="63">
        <f>($L101+SUM($W101:AA101))*(T$11*T101)</f>
        <v>4.03458414900837</v>
      </c>
      <c r="AC101" s="63">
        <f>($L101+SUM($W101:AB101))*(U$11*U101)</f>
        <v>0</v>
      </c>
      <c r="AD101" s="63">
        <f>($L101+SUM($W101:AC101))*(V$11*V101)</f>
        <v>0</v>
      </c>
      <c r="AE101" s="110">
        <f t="shared" si="104"/>
        <v>9.916660879952257</v>
      </c>
    </row>
    <row r="102" spans="1:31" ht="12.75">
      <c r="A102" s="3">
        <v>11</v>
      </c>
      <c r="B102" s="15">
        <f t="shared" si="100"/>
        <v>42675</v>
      </c>
      <c r="C102" s="243">
        <f t="shared" si="87"/>
        <v>42709</v>
      </c>
      <c r="D102" s="243">
        <f t="shared" si="87"/>
        <v>42724</v>
      </c>
      <c r="E102" s="30" t="s">
        <v>144</v>
      </c>
      <c r="F102" s="3">
        <v>9</v>
      </c>
      <c r="G102" s="362">
        <v>15</v>
      </c>
      <c r="H102" s="246">
        <f t="shared" si="103"/>
        <v>1623.7</v>
      </c>
      <c r="I102" s="246">
        <f t="shared" si="99"/>
        <v>1652.23</v>
      </c>
      <c r="J102" s="56">
        <f t="shared" si="101"/>
        <v>24783.45</v>
      </c>
      <c r="K102" s="74">
        <f t="shared" si="83"/>
        <v>24355.5</v>
      </c>
      <c r="L102" s="77">
        <f t="shared" si="97"/>
        <v>427.9500000000007</v>
      </c>
      <c r="M102" s="75">
        <f t="shared" si="89"/>
        <v>7.960817591750292</v>
      </c>
      <c r="N102" s="76">
        <f t="shared" si="98"/>
        <v>435.910817591751</v>
      </c>
      <c r="O102" s="16">
        <f t="shared" si="78"/>
        <v>0</v>
      </c>
      <c r="P102" s="16">
        <f t="shared" si="79"/>
        <v>0</v>
      </c>
      <c r="Q102" s="16">
        <f t="shared" si="80"/>
        <v>0</v>
      </c>
      <c r="R102" s="16">
        <f t="shared" si="91"/>
        <v>12</v>
      </c>
      <c r="S102" s="16">
        <f t="shared" si="92"/>
        <v>90</v>
      </c>
      <c r="T102" s="16">
        <f t="shared" si="92"/>
        <v>91</v>
      </c>
      <c r="U102" s="16">
        <f t="shared" si="92"/>
        <v>0</v>
      </c>
      <c r="V102" s="106">
        <f t="shared" si="95"/>
        <v>0</v>
      </c>
      <c r="W102" s="141">
        <f t="shared" si="96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0.49243561643835704</v>
      </c>
      <c r="AA102" s="63">
        <f>($L102+SUM($W102:Z102))*(S$11*S102)</f>
        <v>3.6975169101144743</v>
      </c>
      <c r="AB102" s="63">
        <f>($L102+SUM($W102:AA102))*(T$11*T102)</f>
        <v>3.7708650651974605</v>
      </c>
      <c r="AC102" s="63">
        <f>($L102+SUM($W102:AB102))*(U$11*U102)</f>
        <v>0</v>
      </c>
      <c r="AD102" s="63">
        <f>($L102+SUM($W102:AC102))*(V$11*V102)</f>
        <v>0</v>
      </c>
      <c r="AE102" s="110">
        <f t="shared" si="104"/>
        <v>7.960817591750292</v>
      </c>
    </row>
    <row r="103" spans="1:31" s="69" customFormat="1" ht="12.75">
      <c r="A103" s="3">
        <v>12</v>
      </c>
      <c r="B103" s="83">
        <f t="shared" si="100"/>
        <v>42705</v>
      </c>
      <c r="C103" s="243">
        <f t="shared" si="87"/>
        <v>42740</v>
      </c>
      <c r="D103" s="243">
        <f t="shared" si="87"/>
        <v>42755</v>
      </c>
      <c r="E103" s="84" t="s">
        <v>144</v>
      </c>
      <c r="F103" s="81">
        <v>9</v>
      </c>
      <c r="G103" s="363">
        <v>19</v>
      </c>
      <c r="H103" s="247">
        <f t="shared" si="103"/>
        <v>1623.7</v>
      </c>
      <c r="I103" s="247">
        <f t="shared" si="99"/>
        <v>1652.23</v>
      </c>
      <c r="J103" s="85">
        <f t="shared" si="101"/>
        <v>31392.37</v>
      </c>
      <c r="K103" s="86">
        <f t="shared" si="83"/>
        <v>30850.3</v>
      </c>
      <c r="L103" s="87">
        <f t="shared" si="97"/>
        <v>542.0699999999997</v>
      </c>
      <c r="M103" s="88">
        <f t="shared" si="89"/>
        <v>8.45285271893976</v>
      </c>
      <c r="N103" s="89">
        <f t="shared" si="98"/>
        <v>550.5228527189395</v>
      </c>
      <c r="O103" s="81">
        <f t="shared" si="78"/>
        <v>0</v>
      </c>
      <c r="P103" s="81">
        <f t="shared" si="79"/>
        <v>0</v>
      </c>
      <c r="Q103" s="81">
        <f t="shared" si="80"/>
        <v>0</v>
      </c>
      <c r="R103" s="81">
        <f t="shared" si="91"/>
        <v>0</v>
      </c>
      <c r="S103" s="81">
        <f t="shared" si="92"/>
        <v>71</v>
      </c>
      <c r="T103" s="81">
        <f t="shared" si="92"/>
        <v>91</v>
      </c>
      <c r="U103" s="81">
        <f t="shared" si="92"/>
        <v>0</v>
      </c>
      <c r="V103" s="107">
        <f t="shared" si="95"/>
        <v>0</v>
      </c>
      <c r="W103" s="142">
        <f t="shared" si="96"/>
        <v>0</v>
      </c>
      <c r="X103" s="90">
        <f>($L103+SUM($W103:W103))*(P$11*P103)</f>
        <v>0</v>
      </c>
      <c r="Y103" s="90">
        <f>($L103+SUM($W103:X103))*(Q$11*Q103)</f>
        <v>0</v>
      </c>
      <c r="Z103" s="90">
        <f>($L103+SUM($W103:Y103))*(R$11*R103)</f>
        <v>0</v>
      </c>
      <c r="AA103" s="90">
        <f>($L103+SUM($W103:Z103))*(S$11*S103)</f>
        <v>3.690531369863012</v>
      </c>
      <c r="AB103" s="90">
        <f>($L103+SUM($W103:AA103))*(T$11*T103)</f>
        <v>4.762321349076748</v>
      </c>
      <c r="AC103" s="90">
        <f>($L103+SUM($W103:AB103))*(U$11*U103)</f>
        <v>0</v>
      </c>
      <c r="AD103" s="90">
        <f>($L103+SUM($W103:AC103))*(V$11*V103)</f>
        <v>0</v>
      </c>
      <c r="AE103" s="111">
        <f t="shared" si="104"/>
        <v>8.45285271893976</v>
      </c>
    </row>
    <row r="104" spans="1:31" ht="12.75">
      <c r="A104" s="16">
        <v>1</v>
      </c>
      <c r="B104" s="15">
        <f t="shared" si="100"/>
        <v>42370</v>
      </c>
      <c r="C104" s="242">
        <f aca="true" t="shared" si="105" ref="C104:D123">+C92</f>
        <v>42403</v>
      </c>
      <c r="D104" s="242">
        <f t="shared" si="105"/>
        <v>42418</v>
      </c>
      <c r="E104" s="118" t="s">
        <v>138</v>
      </c>
      <c r="F104" s="16">
        <v>9</v>
      </c>
      <c r="G104" s="362">
        <v>696</v>
      </c>
      <c r="H104" s="246">
        <f aca="true" t="shared" si="106" ref="H104:H109">$K$3</f>
        <v>1566.72</v>
      </c>
      <c r="I104" s="246">
        <f t="shared" si="99"/>
        <v>1652.23</v>
      </c>
      <c r="J104" s="56">
        <f t="shared" si="101"/>
        <v>1149952.08</v>
      </c>
      <c r="K104" s="57">
        <f t="shared" si="83"/>
        <v>1090437.12</v>
      </c>
      <c r="L104" s="58">
        <f t="shared" si="97"/>
        <v>59514.95999999996</v>
      </c>
      <c r="M104" s="55">
        <f t="shared" si="89"/>
        <v>2879.5932259627343</v>
      </c>
      <c r="N104" s="29">
        <f t="shared" si="98"/>
        <v>62394.5532259627</v>
      </c>
      <c r="O104" s="16">
        <f aca="true" t="shared" si="107" ref="O104:O139">IF($D104&lt;O$8,O$12,IF($D104&lt;P$8,P$8-$D104,0))</f>
        <v>43</v>
      </c>
      <c r="P104" s="16">
        <f aca="true" t="shared" si="108" ref="P104:P139">IF($D104&lt;P$8,P$12,IF($D104&lt;Q$8,Q$8-$D104,0))</f>
        <v>91</v>
      </c>
      <c r="Q104" s="16">
        <f aca="true" t="shared" si="109" ref="Q104:Q139">IF($D104&lt;Q$8,Q$12,IF($D104&lt;R$8,R$8-$D104,0))</f>
        <v>92</v>
      </c>
      <c r="R104" s="16">
        <f t="shared" si="91"/>
        <v>92</v>
      </c>
      <c r="S104" s="16">
        <f t="shared" si="92"/>
        <v>90</v>
      </c>
      <c r="T104" s="16">
        <f t="shared" si="92"/>
        <v>91</v>
      </c>
      <c r="U104" s="16">
        <f t="shared" si="92"/>
        <v>0</v>
      </c>
      <c r="V104" s="106">
        <f>IF(W$8&lt;V$8,0,IF($D104&lt;V$8,V$12,IF($D104&lt;W$8,W$8-$D104,0)))</f>
        <v>0</v>
      </c>
      <c r="W104" s="141">
        <f>$L104*O$11*O104</f>
        <v>227.86892219178068</v>
      </c>
      <c r="X104" s="63">
        <f>($L104+SUM($W104:W104))*(P$11*P104)</f>
        <v>514.8631540548373</v>
      </c>
      <c r="Y104" s="63">
        <f>($L104+SUM($W104:X104))*(Q$11*Q104)</f>
        <v>531.5884068096275</v>
      </c>
      <c r="Z104" s="63">
        <f>($L104+SUM($W104:Y104))*(R$11*R104)</f>
        <v>536.2780360423042</v>
      </c>
      <c r="AA104" s="63">
        <f>($L104+SUM($W104:Z104))*(S$11*S104)</f>
        <v>529.2479707812612</v>
      </c>
      <c r="AB104" s="63">
        <f>($L104+SUM($W104:AA104))*(T$11*T104)</f>
        <v>539.7467360829236</v>
      </c>
      <c r="AC104" s="63">
        <f>($L104+SUM($W104:AB104))*(U$11*U104)</f>
        <v>0</v>
      </c>
      <c r="AD104" s="63">
        <f>($L104+SUM($W104:AC104))*(V$11*V104)</f>
        <v>0</v>
      </c>
      <c r="AE104" s="110">
        <f aca="true" t="shared" si="110" ref="AE104:AE109">SUM(W104:AD104)</f>
        <v>2879.5932259627343</v>
      </c>
    </row>
    <row r="105" spans="1:31" ht="12.75">
      <c r="A105" s="3">
        <v>2</v>
      </c>
      <c r="B105" s="15">
        <f t="shared" si="100"/>
        <v>42401</v>
      </c>
      <c r="C105" s="243">
        <f t="shared" si="105"/>
        <v>42432</v>
      </c>
      <c r="D105" s="243">
        <f t="shared" si="105"/>
        <v>42447</v>
      </c>
      <c r="E105" s="70" t="s">
        <v>138</v>
      </c>
      <c r="F105" s="3">
        <v>9</v>
      </c>
      <c r="G105" s="362">
        <v>669</v>
      </c>
      <c r="H105" s="246">
        <f t="shared" si="106"/>
        <v>1566.72</v>
      </c>
      <c r="I105" s="246">
        <f t="shared" si="99"/>
        <v>1652.23</v>
      </c>
      <c r="J105" s="56">
        <f t="shared" si="101"/>
        <v>1105341.87</v>
      </c>
      <c r="K105" s="57">
        <f t="shared" si="83"/>
        <v>1048135.68</v>
      </c>
      <c r="L105" s="58">
        <f t="shared" si="97"/>
        <v>57206.19000000006</v>
      </c>
      <c r="M105" s="55">
        <f t="shared" si="89"/>
        <v>2613.610983648923</v>
      </c>
      <c r="N105" s="29">
        <f t="shared" si="98"/>
        <v>59819.80098364898</v>
      </c>
      <c r="O105" s="16">
        <f t="shared" si="107"/>
        <v>14</v>
      </c>
      <c r="P105" s="16">
        <f t="shared" si="108"/>
        <v>91</v>
      </c>
      <c r="Q105" s="16">
        <f t="shared" si="109"/>
        <v>92</v>
      </c>
      <c r="R105" s="16">
        <f t="shared" si="91"/>
        <v>92</v>
      </c>
      <c r="S105" s="16">
        <f t="shared" si="92"/>
        <v>90</v>
      </c>
      <c r="T105" s="16">
        <f t="shared" si="92"/>
        <v>91</v>
      </c>
      <c r="U105" s="16">
        <f t="shared" si="92"/>
        <v>0</v>
      </c>
      <c r="V105" s="106">
        <f aca="true" t="shared" si="111" ref="V105:V115">IF(W$8&lt;V$8,0,IF($D105&lt;V$8,V$12,IF($D105&lt;W$8,W$8-$D105,0)))</f>
        <v>0</v>
      </c>
      <c r="W105" s="141">
        <f aca="true" t="shared" si="112" ref="W105:W115">$L105*O$11*O105</f>
        <v>71.31182589041103</v>
      </c>
      <c r="X105" s="63">
        <f>($L105+SUM($W105:W105))*(P$11*P105)</f>
        <v>493.61698765331573</v>
      </c>
      <c r="Y105" s="63">
        <f>($L105+SUM($W105:X105))*(Q$11*Q105)</f>
        <v>509.65206186194797</v>
      </c>
      <c r="Z105" s="63">
        <f>($L105+SUM($W105:Y105))*(R$11*R105)</f>
        <v>514.1481704624836</v>
      </c>
      <c r="AA105" s="63">
        <f>($L105+SUM($W105:Z105))*(S$11*S105)</f>
        <v>507.4082054643422</v>
      </c>
      <c r="AB105" s="63">
        <f>($L105+SUM($W105:AA105))*(T$11*T105)</f>
        <v>517.4737323164226</v>
      </c>
      <c r="AC105" s="63">
        <f>($L105+SUM($W105:AB105))*(U$11*U105)</f>
        <v>0</v>
      </c>
      <c r="AD105" s="63">
        <f>($L105+SUM($W105:AC105))*(V$11*V105)</f>
        <v>0</v>
      </c>
      <c r="AE105" s="110">
        <f t="shared" si="110"/>
        <v>2613.610983648923</v>
      </c>
    </row>
    <row r="106" spans="1:31" ht="12.75">
      <c r="A106" s="3">
        <v>3</v>
      </c>
      <c r="B106" s="15">
        <f t="shared" si="100"/>
        <v>42430</v>
      </c>
      <c r="C106" s="243">
        <f t="shared" si="105"/>
        <v>42465</v>
      </c>
      <c r="D106" s="243">
        <f t="shared" si="105"/>
        <v>42480</v>
      </c>
      <c r="E106" s="70" t="s">
        <v>138</v>
      </c>
      <c r="F106" s="3">
        <v>9</v>
      </c>
      <c r="G106" s="362">
        <v>556</v>
      </c>
      <c r="H106" s="246">
        <f t="shared" si="106"/>
        <v>1566.72</v>
      </c>
      <c r="I106" s="246">
        <f t="shared" si="99"/>
        <v>1652.23</v>
      </c>
      <c r="J106" s="56">
        <f t="shared" si="101"/>
        <v>918639.88</v>
      </c>
      <c r="K106" s="57">
        <f t="shared" si="83"/>
        <v>871096.3200000001</v>
      </c>
      <c r="L106" s="58">
        <f>+J106-K106</f>
        <v>47543.55999999994</v>
      </c>
      <c r="M106" s="55">
        <f t="shared" si="89"/>
        <v>2021.6700986131327</v>
      </c>
      <c r="N106" s="29">
        <f>SUM(L106:M106)</f>
        <v>49565.23009861307</v>
      </c>
      <c r="O106" s="16">
        <f t="shared" si="107"/>
        <v>0</v>
      </c>
      <c r="P106" s="16">
        <f t="shared" si="108"/>
        <v>72</v>
      </c>
      <c r="Q106" s="16">
        <f t="shared" si="109"/>
        <v>92</v>
      </c>
      <c r="R106" s="16">
        <f t="shared" si="91"/>
        <v>92</v>
      </c>
      <c r="S106" s="16">
        <f t="shared" si="92"/>
        <v>90</v>
      </c>
      <c r="T106" s="16">
        <f t="shared" si="92"/>
        <v>91</v>
      </c>
      <c r="U106" s="16">
        <f t="shared" si="92"/>
        <v>0</v>
      </c>
      <c r="V106" s="106">
        <f t="shared" si="111"/>
        <v>0</v>
      </c>
      <c r="W106" s="141">
        <f t="shared" si="112"/>
        <v>0</v>
      </c>
      <c r="X106" s="63">
        <f>($L106+SUM($W106:W106))*(P$11*P106)</f>
        <v>324.18195103561607</v>
      </c>
      <c r="Y106" s="63">
        <f>($L106+SUM($W106:X106))*(Q$11*Q106)</f>
        <v>422.28528515708086</v>
      </c>
      <c r="Z106" s="63">
        <f>($L106+SUM($W106:Y106))*(R$11*R106)</f>
        <v>426.010651234357</v>
      </c>
      <c r="AA106" s="63">
        <f>($L106+SUM($W106:Z106))*(S$11*S106)</f>
        <v>420.4260803983426</v>
      </c>
      <c r="AB106" s="63">
        <f>($L106+SUM($W106:AA106))*(T$11*T106)</f>
        <v>428.7661307877362</v>
      </c>
      <c r="AC106" s="63">
        <f>($L106+SUM($W106:AB106))*(U$11*U106)</f>
        <v>0</v>
      </c>
      <c r="AD106" s="63">
        <f>($L106+SUM($W106:AC106))*(V$11*V106)</f>
        <v>0</v>
      </c>
      <c r="AE106" s="110">
        <f t="shared" si="110"/>
        <v>2021.6700986131327</v>
      </c>
    </row>
    <row r="107" spans="1:31" ht="12.75">
      <c r="A107" s="16">
        <v>4</v>
      </c>
      <c r="B107" s="15">
        <f t="shared" si="100"/>
        <v>42461</v>
      </c>
      <c r="C107" s="243">
        <f t="shared" si="105"/>
        <v>42494</v>
      </c>
      <c r="D107" s="243">
        <f t="shared" si="105"/>
        <v>42509</v>
      </c>
      <c r="E107" s="30" t="s">
        <v>138</v>
      </c>
      <c r="F107" s="3">
        <v>9</v>
      </c>
      <c r="G107" s="362">
        <v>434</v>
      </c>
      <c r="H107" s="246">
        <f t="shared" si="106"/>
        <v>1566.72</v>
      </c>
      <c r="I107" s="246">
        <f t="shared" si="99"/>
        <v>1652.23</v>
      </c>
      <c r="J107" s="56">
        <f t="shared" si="101"/>
        <v>717067.8200000001</v>
      </c>
      <c r="K107" s="57">
        <f t="shared" si="83"/>
        <v>679956.48</v>
      </c>
      <c r="L107" s="58">
        <f aca="true" t="shared" si="113" ref="L107:L117">+J107-K107</f>
        <v>37111.340000000084</v>
      </c>
      <c r="M107" s="55">
        <f t="shared" si="89"/>
        <v>1472.5295410860601</v>
      </c>
      <c r="N107" s="29">
        <f aca="true" t="shared" si="114" ref="N107:N117">SUM(L107:M107)</f>
        <v>38583.86954108615</v>
      </c>
      <c r="O107" s="16">
        <f t="shared" si="107"/>
        <v>0</v>
      </c>
      <c r="P107" s="16">
        <f t="shared" si="108"/>
        <v>43</v>
      </c>
      <c r="Q107" s="16">
        <f t="shared" si="109"/>
        <v>92</v>
      </c>
      <c r="R107" s="16">
        <f t="shared" si="91"/>
        <v>92</v>
      </c>
      <c r="S107" s="16">
        <f t="shared" si="92"/>
        <v>90</v>
      </c>
      <c r="T107" s="16">
        <f t="shared" si="92"/>
        <v>91</v>
      </c>
      <c r="U107" s="16">
        <f t="shared" si="92"/>
        <v>0</v>
      </c>
      <c r="V107" s="106">
        <f t="shared" si="111"/>
        <v>0</v>
      </c>
      <c r="W107" s="141">
        <f t="shared" si="112"/>
        <v>0</v>
      </c>
      <c r="X107" s="63">
        <f>($L107+SUM($W107:W107))*(P$11*P107)</f>
        <v>151.12618830502316</v>
      </c>
      <c r="Y107" s="63">
        <f>($L107+SUM($W107:X107))*(Q$11*Q107)</f>
        <v>328.7264140447739</v>
      </c>
      <c r="Z107" s="63">
        <f>($L107+SUM($W107:Y107))*(R$11*R107)</f>
        <v>331.6264114508675</v>
      </c>
      <c r="AA107" s="63">
        <f>($L107+SUM($W107:Z107))*(S$11*S107)</f>
        <v>327.2791229958147</v>
      </c>
      <c r="AB107" s="63">
        <f>($L107+SUM($W107:AA107))*(T$11*T107)</f>
        <v>333.77140428958097</v>
      </c>
      <c r="AC107" s="63">
        <f>($L107+SUM($W107:AB107))*(U$11*U107)</f>
        <v>0</v>
      </c>
      <c r="AD107" s="63">
        <f>($L107+SUM($W107:AC107))*(V$11*V107)</f>
        <v>0</v>
      </c>
      <c r="AE107" s="110">
        <f t="shared" si="110"/>
        <v>1472.5295410860601</v>
      </c>
    </row>
    <row r="108" spans="1:31" ht="12.75">
      <c r="A108" s="3">
        <v>5</v>
      </c>
      <c r="B108" s="15">
        <f t="shared" si="100"/>
        <v>42491</v>
      </c>
      <c r="C108" s="243">
        <f t="shared" si="105"/>
        <v>42524</v>
      </c>
      <c r="D108" s="243">
        <f t="shared" si="105"/>
        <v>42541</v>
      </c>
      <c r="E108" s="30" t="s">
        <v>138</v>
      </c>
      <c r="F108" s="3">
        <v>9</v>
      </c>
      <c r="G108" s="362">
        <v>488</v>
      </c>
      <c r="H108" s="246">
        <f t="shared" si="106"/>
        <v>1566.72</v>
      </c>
      <c r="I108" s="246">
        <f t="shared" si="99"/>
        <v>1652.23</v>
      </c>
      <c r="J108" s="56">
        <f t="shared" si="101"/>
        <v>806288.24</v>
      </c>
      <c r="K108" s="57">
        <f t="shared" si="83"/>
        <v>764559.36</v>
      </c>
      <c r="L108" s="58">
        <f t="shared" si="113"/>
        <v>41728.880000000005</v>
      </c>
      <c r="M108" s="55">
        <f t="shared" si="89"/>
        <v>1524.8035246906345</v>
      </c>
      <c r="N108" s="29">
        <f t="shared" si="114"/>
        <v>43253.68352469064</v>
      </c>
      <c r="O108" s="16">
        <f t="shared" si="107"/>
        <v>0</v>
      </c>
      <c r="P108" s="16">
        <f t="shared" si="108"/>
        <v>11</v>
      </c>
      <c r="Q108" s="16">
        <f t="shared" si="109"/>
        <v>92</v>
      </c>
      <c r="R108" s="16">
        <f t="shared" si="91"/>
        <v>92</v>
      </c>
      <c r="S108" s="16">
        <f t="shared" si="92"/>
        <v>90</v>
      </c>
      <c r="T108" s="16">
        <f t="shared" si="92"/>
        <v>91</v>
      </c>
      <c r="U108" s="16">
        <f t="shared" si="92"/>
        <v>0</v>
      </c>
      <c r="V108" s="106">
        <f t="shared" si="111"/>
        <v>0</v>
      </c>
      <c r="W108" s="141">
        <f t="shared" si="112"/>
        <v>0</v>
      </c>
      <c r="X108" s="63">
        <f>($L108+SUM($W108:W108))*(P$11*P108)</f>
        <v>43.47044147579909</v>
      </c>
      <c r="Y108" s="63">
        <f>($L108+SUM($W108:X108))*(Q$11*Q108)</f>
        <v>368.51224225082774</v>
      </c>
      <c r="Z108" s="63">
        <f>($L108+SUM($W108:Y108))*(R$11*R108)</f>
        <v>371.7632269632871</v>
      </c>
      <c r="AA108" s="63">
        <f>($L108+SUM($W108:Z108))*(S$11*S108)</f>
        <v>366.889785256639</v>
      </c>
      <c r="AB108" s="63">
        <f>($L108+SUM($W108:AA108))*(T$11*T108)</f>
        <v>374.16782874408165</v>
      </c>
      <c r="AC108" s="63">
        <f>($L108+SUM($W108:AB108))*(U$11*U108)</f>
        <v>0</v>
      </c>
      <c r="AD108" s="63">
        <f>($L108+SUM($W108:AC108))*(V$11*V108)</f>
        <v>0</v>
      </c>
      <c r="AE108" s="110">
        <f t="shared" si="110"/>
        <v>1524.8035246906345</v>
      </c>
    </row>
    <row r="109" spans="1:31" ht="12.75">
      <c r="A109" s="3">
        <v>6</v>
      </c>
      <c r="B109" s="15">
        <f t="shared" si="100"/>
        <v>42522</v>
      </c>
      <c r="C109" s="243">
        <f t="shared" si="105"/>
        <v>42557</v>
      </c>
      <c r="D109" s="243">
        <f t="shared" si="105"/>
        <v>42572</v>
      </c>
      <c r="E109" s="30" t="s">
        <v>138</v>
      </c>
      <c r="F109" s="3">
        <v>9</v>
      </c>
      <c r="G109" s="362">
        <v>595</v>
      </c>
      <c r="H109" s="246">
        <f t="shared" si="106"/>
        <v>1566.72</v>
      </c>
      <c r="I109" s="246">
        <f t="shared" si="99"/>
        <v>1652.23</v>
      </c>
      <c r="J109" s="56">
        <f t="shared" si="101"/>
        <v>983076.85</v>
      </c>
      <c r="K109" s="57">
        <f t="shared" si="83"/>
        <v>932198.4</v>
      </c>
      <c r="L109" s="77">
        <f t="shared" si="113"/>
        <v>50878.44999999995</v>
      </c>
      <c r="M109" s="78">
        <f t="shared" si="89"/>
        <v>1704.1022280699926</v>
      </c>
      <c r="N109" s="76">
        <f t="shared" si="114"/>
        <v>52582.552228069944</v>
      </c>
      <c r="O109" s="16">
        <f aca="true" t="shared" si="115" ref="O109:U109">IF($D109&lt;O$8,O$12,IF($D109&lt;P$8,P$8-$D109,0))</f>
        <v>0</v>
      </c>
      <c r="P109" s="16">
        <f t="shared" si="115"/>
        <v>0</v>
      </c>
      <c r="Q109" s="16">
        <f t="shared" si="115"/>
        <v>72</v>
      </c>
      <c r="R109" s="16">
        <f t="shared" si="115"/>
        <v>92</v>
      </c>
      <c r="S109" s="16">
        <f t="shared" si="115"/>
        <v>90</v>
      </c>
      <c r="T109" s="16">
        <f t="shared" si="115"/>
        <v>91</v>
      </c>
      <c r="U109" s="16">
        <f t="shared" si="115"/>
        <v>0</v>
      </c>
      <c r="V109" s="106">
        <f>IF(W$8&lt;V$8,0,IF($D109&lt;V$8,V$12,IF($D109&lt;W$8,W$8-$D109,0)))</f>
        <v>0</v>
      </c>
      <c r="W109" s="141">
        <f>$L109*O$11*O109</f>
        <v>0</v>
      </c>
      <c r="X109" s="63">
        <f>($L109+SUM($W109:W109))*(P$11*P109)</f>
        <v>0</v>
      </c>
      <c r="Y109" s="63">
        <f>($L109+SUM($W109:X109))*(Q$11*Q109)</f>
        <v>351.27039452054765</v>
      </c>
      <c r="Z109" s="63">
        <f>($L109+SUM($W109:Y109))*(R$11*R109)</f>
        <v>451.9443826585097</v>
      </c>
      <c r="AA109" s="63">
        <f>($L109+SUM($W109:Z109))*(S$11*S109)</f>
        <v>446.0198467071613</v>
      </c>
      <c r="AB109" s="63">
        <f>($L109+SUM($W109:AA109))*(T$11*T109)</f>
        <v>454.86760418377384</v>
      </c>
      <c r="AC109" s="63">
        <f>($L109+SUM($W109:AB109))*(U$11*U109)</f>
        <v>0</v>
      </c>
      <c r="AD109" s="63">
        <f>($L109+SUM($W109:AC109))*(V$11*V109)</f>
        <v>0</v>
      </c>
      <c r="AE109" s="110">
        <f t="shared" si="110"/>
        <v>1704.1022280699926</v>
      </c>
    </row>
    <row r="110" spans="1:31" ht="12.75">
      <c r="A110" s="16">
        <v>7</v>
      </c>
      <c r="B110" s="15">
        <f t="shared" si="100"/>
        <v>42552</v>
      </c>
      <c r="C110" s="243">
        <f t="shared" si="105"/>
        <v>42585</v>
      </c>
      <c r="D110" s="243">
        <f t="shared" si="105"/>
        <v>42600</v>
      </c>
      <c r="E110" s="30" t="s">
        <v>138</v>
      </c>
      <c r="F110" s="3">
        <v>9</v>
      </c>
      <c r="G110" s="362">
        <v>672</v>
      </c>
      <c r="H110" s="246">
        <f aca="true" t="shared" si="116" ref="H110:H115">$K$8</f>
        <v>1623.7</v>
      </c>
      <c r="I110" s="246">
        <f t="shared" si="99"/>
        <v>1652.23</v>
      </c>
      <c r="J110" s="56">
        <f t="shared" si="101"/>
        <v>1110298.56</v>
      </c>
      <c r="K110" s="74">
        <f t="shared" si="83"/>
        <v>1091126.4000000001</v>
      </c>
      <c r="L110" s="77">
        <f t="shared" si="113"/>
        <v>19172.159999999916</v>
      </c>
      <c r="M110" s="75">
        <f t="shared" si="89"/>
        <v>589.3093033070467</v>
      </c>
      <c r="N110" s="76">
        <f t="shared" si="114"/>
        <v>19761.469303306963</v>
      </c>
      <c r="O110" s="16">
        <f t="shared" si="107"/>
        <v>0</v>
      </c>
      <c r="P110" s="16">
        <f t="shared" si="108"/>
        <v>0</v>
      </c>
      <c r="Q110" s="16">
        <f t="shared" si="109"/>
        <v>44</v>
      </c>
      <c r="R110" s="16">
        <f t="shared" si="91"/>
        <v>92</v>
      </c>
      <c r="S110" s="16">
        <f t="shared" si="92"/>
        <v>90</v>
      </c>
      <c r="T110" s="16">
        <f t="shared" si="92"/>
        <v>91</v>
      </c>
      <c r="U110" s="16">
        <f t="shared" si="92"/>
        <v>0</v>
      </c>
      <c r="V110" s="106">
        <f t="shared" si="111"/>
        <v>0</v>
      </c>
      <c r="W110" s="141">
        <f t="shared" si="112"/>
        <v>0</v>
      </c>
      <c r="X110" s="63">
        <f>($L110+SUM($W110:W110))*(P$11*P110)</f>
        <v>0</v>
      </c>
      <c r="Y110" s="63">
        <f>($L110+SUM($W110:X110))*(Q$11*Q110)</f>
        <v>80.89075726027363</v>
      </c>
      <c r="Z110" s="63">
        <f>($L110+SUM($W110:Y110))*(R$11*R110)</f>
        <v>169.84883133802143</v>
      </c>
      <c r="AA110" s="63">
        <f>($L110+SUM($W110:Z110))*(S$11*S110)</f>
        <v>167.62228412077909</v>
      </c>
      <c r="AB110" s="63">
        <f>($L110+SUM($W110:AA110))*(T$11*T110)</f>
        <v>170.94743058797255</v>
      </c>
      <c r="AC110" s="63">
        <f>($L110+SUM($W110:AB110))*(U$11*U110)</f>
        <v>0</v>
      </c>
      <c r="AD110" s="63">
        <f>($L110+SUM($W110:AC110))*(V$11*V110)</f>
        <v>0</v>
      </c>
      <c r="AE110" s="110">
        <f aca="true" t="shared" si="117" ref="AE110:AE115">SUM(W110:AD110)</f>
        <v>589.3093033070467</v>
      </c>
    </row>
    <row r="111" spans="1:31" ht="12.75">
      <c r="A111" s="3">
        <v>8</v>
      </c>
      <c r="B111" s="15">
        <f t="shared" si="100"/>
        <v>42583</v>
      </c>
      <c r="C111" s="243">
        <f t="shared" si="105"/>
        <v>42619</v>
      </c>
      <c r="D111" s="243">
        <f t="shared" si="105"/>
        <v>42634</v>
      </c>
      <c r="E111" s="30" t="s">
        <v>138</v>
      </c>
      <c r="F111" s="3">
        <v>9</v>
      </c>
      <c r="G111" s="362">
        <v>659</v>
      </c>
      <c r="H111" s="246">
        <f t="shared" si="116"/>
        <v>1623.7</v>
      </c>
      <c r="I111" s="246">
        <f t="shared" si="99"/>
        <v>1652.23</v>
      </c>
      <c r="J111" s="56">
        <f t="shared" si="101"/>
        <v>1088819.57</v>
      </c>
      <c r="K111" s="74">
        <f t="shared" si="83"/>
        <v>1070018.3</v>
      </c>
      <c r="L111" s="77">
        <f t="shared" si="113"/>
        <v>18801.27000000002</v>
      </c>
      <c r="M111" s="75">
        <f t="shared" si="89"/>
        <v>514.9929954218316</v>
      </c>
      <c r="N111" s="76">
        <f t="shared" si="114"/>
        <v>19316.26299542185</v>
      </c>
      <c r="O111" s="16">
        <f t="shared" si="107"/>
        <v>0</v>
      </c>
      <c r="P111" s="16">
        <f t="shared" si="108"/>
        <v>0</v>
      </c>
      <c r="Q111" s="16">
        <f t="shared" si="109"/>
        <v>10</v>
      </c>
      <c r="R111" s="16">
        <f t="shared" si="91"/>
        <v>92</v>
      </c>
      <c r="S111" s="16">
        <f t="shared" si="92"/>
        <v>90</v>
      </c>
      <c r="T111" s="16">
        <f t="shared" si="92"/>
        <v>91</v>
      </c>
      <c r="U111" s="16">
        <f t="shared" si="92"/>
        <v>0</v>
      </c>
      <c r="V111" s="106">
        <f t="shared" si="111"/>
        <v>0</v>
      </c>
      <c r="W111" s="141">
        <f t="shared" si="112"/>
        <v>0</v>
      </c>
      <c r="X111" s="63">
        <f>($L111+SUM($W111:W111))*(P$11*P111)</f>
        <v>0</v>
      </c>
      <c r="Y111" s="63">
        <f>($L111+SUM($W111:X111))*(Q$11*Q111)</f>
        <v>18.02861506849317</v>
      </c>
      <c r="Z111" s="63">
        <f>($L111+SUM($W111:Y111))*(R$11*R111)</f>
        <v>166.02230559046743</v>
      </c>
      <c r="AA111" s="63">
        <f>($L111+SUM($W111:Z111))*(S$11*S111)</f>
        <v>163.84592027418023</v>
      </c>
      <c r="AB111" s="63">
        <f>($L111+SUM($W111:AA111))*(T$11*T111)</f>
        <v>167.0961544886907</v>
      </c>
      <c r="AC111" s="63">
        <f>($L111+SUM($W111:AB111))*(U$11*U111)</f>
        <v>0</v>
      </c>
      <c r="AD111" s="63">
        <f>($L111+SUM($W111:AC111))*(V$11*V111)</f>
        <v>0</v>
      </c>
      <c r="AE111" s="110">
        <f t="shared" si="117"/>
        <v>514.9929954218316</v>
      </c>
    </row>
    <row r="112" spans="1:31" ht="12.75">
      <c r="A112" s="3">
        <v>9</v>
      </c>
      <c r="B112" s="15">
        <f t="shared" si="100"/>
        <v>42614</v>
      </c>
      <c r="C112" s="243">
        <f t="shared" si="105"/>
        <v>42648</v>
      </c>
      <c r="D112" s="243">
        <f t="shared" si="105"/>
        <v>42663</v>
      </c>
      <c r="E112" s="30" t="s">
        <v>138</v>
      </c>
      <c r="F112" s="3">
        <v>9</v>
      </c>
      <c r="G112" s="362">
        <v>555</v>
      </c>
      <c r="H112" s="246">
        <f t="shared" si="116"/>
        <v>1623.7</v>
      </c>
      <c r="I112" s="246">
        <f t="shared" si="99"/>
        <v>1652.23</v>
      </c>
      <c r="J112" s="56">
        <f t="shared" si="101"/>
        <v>916987.65</v>
      </c>
      <c r="K112" s="74">
        <f t="shared" si="83"/>
        <v>901153.5</v>
      </c>
      <c r="L112" s="77">
        <f t="shared" si="113"/>
        <v>15834.150000000023</v>
      </c>
      <c r="M112" s="75">
        <f t="shared" si="89"/>
        <v>388.78366733518646</v>
      </c>
      <c r="N112" s="76">
        <f t="shared" si="114"/>
        <v>16222.93366733521</v>
      </c>
      <c r="O112" s="16">
        <f t="shared" si="107"/>
        <v>0</v>
      </c>
      <c r="P112" s="16">
        <f t="shared" si="108"/>
        <v>0</v>
      </c>
      <c r="Q112" s="16">
        <f t="shared" si="109"/>
        <v>0</v>
      </c>
      <c r="R112" s="16">
        <f t="shared" si="91"/>
        <v>73</v>
      </c>
      <c r="S112" s="16">
        <f t="shared" si="92"/>
        <v>90</v>
      </c>
      <c r="T112" s="16">
        <f t="shared" si="92"/>
        <v>91</v>
      </c>
      <c r="U112" s="16">
        <f t="shared" si="92"/>
        <v>0</v>
      </c>
      <c r="V112" s="106">
        <f t="shared" si="111"/>
        <v>0</v>
      </c>
      <c r="W112" s="141">
        <f t="shared" si="112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110.83905000000019</v>
      </c>
      <c r="AA112" s="63">
        <f>($L112+SUM($W112:Z112))*(S$11*S112)</f>
        <v>137.60743974657555</v>
      </c>
      <c r="AB112" s="63">
        <f>($L112+SUM($W112:AA112))*(T$11*T112)</f>
        <v>140.33717758861073</v>
      </c>
      <c r="AC112" s="63">
        <f>($L112+SUM($W112:AB112))*(U$11*U112)</f>
        <v>0</v>
      </c>
      <c r="AD112" s="63">
        <f>($L112+SUM($W112:AC112))*(V$11*V112)</f>
        <v>0</v>
      </c>
      <c r="AE112" s="110">
        <f t="shared" si="117"/>
        <v>388.78366733518646</v>
      </c>
    </row>
    <row r="113" spans="1:31" ht="12.75">
      <c r="A113" s="16">
        <v>10</v>
      </c>
      <c r="B113" s="15">
        <f t="shared" si="100"/>
        <v>42644</v>
      </c>
      <c r="C113" s="243">
        <f t="shared" si="105"/>
        <v>42677</v>
      </c>
      <c r="D113" s="243">
        <f t="shared" si="105"/>
        <v>42692</v>
      </c>
      <c r="E113" s="30" t="s">
        <v>138</v>
      </c>
      <c r="F113" s="3">
        <v>9</v>
      </c>
      <c r="G113" s="362">
        <v>503</v>
      </c>
      <c r="H113" s="246">
        <f t="shared" si="116"/>
        <v>1623.7</v>
      </c>
      <c r="I113" s="246">
        <f t="shared" si="99"/>
        <v>1652.23</v>
      </c>
      <c r="J113" s="56">
        <f t="shared" si="101"/>
        <v>831071.6900000001</v>
      </c>
      <c r="K113" s="74">
        <f t="shared" si="83"/>
        <v>816721.1</v>
      </c>
      <c r="L113" s="77">
        <f t="shared" si="113"/>
        <v>14350.590000000084</v>
      </c>
      <c r="M113" s="75">
        <f t="shared" si="89"/>
        <v>311.7550264135012</v>
      </c>
      <c r="N113" s="76">
        <f t="shared" si="114"/>
        <v>14662.345026413584</v>
      </c>
      <c r="O113" s="16">
        <f t="shared" si="107"/>
        <v>0</v>
      </c>
      <c r="P113" s="16">
        <f t="shared" si="108"/>
        <v>0</v>
      </c>
      <c r="Q113" s="16">
        <f t="shared" si="109"/>
        <v>0</v>
      </c>
      <c r="R113" s="16">
        <f t="shared" si="91"/>
        <v>44</v>
      </c>
      <c r="S113" s="16">
        <f t="shared" si="92"/>
        <v>90</v>
      </c>
      <c r="T113" s="16">
        <f t="shared" si="92"/>
        <v>91</v>
      </c>
      <c r="U113" s="16">
        <f t="shared" si="92"/>
        <v>0</v>
      </c>
      <c r="V113" s="106">
        <f t="shared" si="111"/>
        <v>0</v>
      </c>
      <c r="W113" s="141">
        <f t="shared" si="112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60.547694794520915</v>
      </c>
      <c r="AA113" s="63">
        <f>($L113+SUM($W113:Z113))*(S$11*S113)</f>
        <v>124.37009243452879</v>
      </c>
      <c r="AB113" s="63">
        <f>($L113+SUM($W113:AA113))*(T$11*T113)</f>
        <v>126.83723918445148</v>
      </c>
      <c r="AC113" s="63">
        <f>($L113+SUM($W113:AB113))*(U$11*U113)</f>
        <v>0</v>
      </c>
      <c r="AD113" s="63">
        <f>($L113+SUM($W113:AC113))*(V$11*V113)</f>
        <v>0</v>
      </c>
      <c r="AE113" s="110">
        <f t="shared" si="117"/>
        <v>311.7550264135012</v>
      </c>
    </row>
    <row r="114" spans="1:31" ht="12.75">
      <c r="A114" s="3">
        <v>11</v>
      </c>
      <c r="B114" s="15">
        <f t="shared" si="100"/>
        <v>42675</v>
      </c>
      <c r="C114" s="243">
        <f t="shared" si="105"/>
        <v>42709</v>
      </c>
      <c r="D114" s="243">
        <f t="shared" si="105"/>
        <v>42724</v>
      </c>
      <c r="E114" s="30" t="s">
        <v>138</v>
      </c>
      <c r="F114" s="3">
        <v>9</v>
      </c>
      <c r="G114" s="362">
        <v>0</v>
      </c>
      <c r="H114" s="246">
        <f t="shared" si="116"/>
        <v>1623.7</v>
      </c>
      <c r="I114" s="246">
        <f t="shared" si="99"/>
        <v>1652.23</v>
      </c>
      <c r="J114" s="56">
        <f t="shared" si="101"/>
        <v>0</v>
      </c>
      <c r="K114" s="74">
        <f t="shared" si="83"/>
        <v>0</v>
      </c>
      <c r="L114" s="77">
        <f t="shared" si="113"/>
        <v>0</v>
      </c>
      <c r="M114" s="75">
        <f t="shared" si="89"/>
        <v>0</v>
      </c>
      <c r="N114" s="76">
        <f t="shared" si="114"/>
        <v>0</v>
      </c>
      <c r="O114" s="16">
        <f t="shared" si="107"/>
        <v>0</v>
      </c>
      <c r="P114" s="16">
        <f t="shared" si="108"/>
        <v>0</v>
      </c>
      <c r="Q114" s="16">
        <f t="shared" si="109"/>
        <v>0</v>
      </c>
      <c r="R114" s="16">
        <f aca="true" t="shared" si="118" ref="R114:R149">IF($D114&lt;R$8,R$12,IF($D114&lt;S$8,S$8-$D114,0))</f>
        <v>12</v>
      </c>
      <c r="S114" s="16">
        <f aca="true" t="shared" si="119" ref="S114:U149">IF($D114&lt;S$8,S$12,IF($D114&lt;T$8,T$8-$D114,0))</f>
        <v>90</v>
      </c>
      <c r="T114" s="16">
        <f t="shared" si="119"/>
        <v>91</v>
      </c>
      <c r="U114" s="16">
        <f t="shared" si="119"/>
        <v>0</v>
      </c>
      <c r="V114" s="106">
        <f t="shared" si="111"/>
        <v>0</v>
      </c>
      <c r="W114" s="141">
        <f t="shared" si="112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0</v>
      </c>
      <c r="AA114" s="63">
        <f>($L114+SUM($W114:Z114))*(S$11*S114)</f>
        <v>0</v>
      </c>
      <c r="AB114" s="63">
        <f>($L114+SUM($W114:AA114))*(T$11*T114)</f>
        <v>0</v>
      </c>
      <c r="AC114" s="63">
        <f>($L114+SUM($W114:AB114))*(U$11*U114)</f>
        <v>0</v>
      </c>
      <c r="AD114" s="63">
        <f>($L114+SUM($W114:AC114))*(V$11*V114)</f>
        <v>0</v>
      </c>
      <c r="AE114" s="110">
        <f t="shared" si="117"/>
        <v>0</v>
      </c>
    </row>
    <row r="115" spans="1:31" s="69" customFormat="1" ht="12.75">
      <c r="A115" s="3">
        <v>12</v>
      </c>
      <c r="B115" s="83">
        <f t="shared" si="100"/>
        <v>42705</v>
      </c>
      <c r="C115" s="243">
        <f t="shared" si="105"/>
        <v>42740</v>
      </c>
      <c r="D115" s="243">
        <f t="shared" si="105"/>
        <v>42755</v>
      </c>
      <c r="E115" s="84" t="s">
        <v>138</v>
      </c>
      <c r="F115" s="81">
        <v>9</v>
      </c>
      <c r="G115" s="363">
        <v>0</v>
      </c>
      <c r="H115" s="247">
        <f t="shared" si="116"/>
        <v>1623.7</v>
      </c>
      <c r="I115" s="247">
        <f t="shared" si="99"/>
        <v>1652.23</v>
      </c>
      <c r="J115" s="85">
        <f t="shared" si="101"/>
        <v>0</v>
      </c>
      <c r="K115" s="86">
        <f t="shared" si="83"/>
        <v>0</v>
      </c>
      <c r="L115" s="87">
        <f t="shared" si="113"/>
        <v>0</v>
      </c>
      <c r="M115" s="88">
        <f t="shared" si="89"/>
        <v>0</v>
      </c>
      <c r="N115" s="89">
        <f t="shared" si="114"/>
        <v>0</v>
      </c>
      <c r="O115" s="81">
        <f t="shared" si="107"/>
        <v>0</v>
      </c>
      <c r="P115" s="81">
        <f t="shared" si="108"/>
        <v>0</v>
      </c>
      <c r="Q115" s="81">
        <f t="shared" si="109"/>
        <v>0</v>
      </c>
      <c r="R115" s="81">
        <f t="shared" si="118"/>
        <v>0</v>
      </c>
      <c r="S115" s="81">
        <f t="shared" si="119"/>
        <v>71</v>
      </c>
      <c r="T115" s="81">
        <f t="shared" si="119"/>
        <v>91</v>
      </c>
      <c r="U115" s="81">
        <f t="shared" si="119"/>
        <v>0</v>
      </c>
      <c r="V115" s="107">
        <f t="shared" si="111"/>
        <v>0</v>
      </c>
      <c r="W115" s="142">
        <f t="shared" si="112"/>
        <v>0</v>
      </c>
      <c r="X115" s="90">
        <f>($L115+SUM($W115:W115))*(P$11*P115)</f>
        <v>0</v>
      </c>
      <c r="Y115" s="90">
        <f>($L115+SUM($W115:X115))*(Q$11*Q115)</f>
        <v>0</v>
      </c>
      <c r="Z115" s="90">
        <f>($L115+SUM($W115:Y115))*(R$11*R115)</f>
        <v>0</v>
      </c>
      <c r="AA115" s="90">
        <f>($L115+SUM($W115:Z115))*(S$11*S115)</f>
        <v>0</v>
      </c>
      <c r="AB115" s="90">
        <f>($L115+SUM($W115:AA115))*(T$11*T115)</f>
        <v>0</v>
      </c>
      <c r="AC115" s="90">
        <f>($L115+SUM($W115:AB115))*(U$11*U115)</f>
        <v>0</v>
      </c>
      <c r="AD115" s="90">
        <f>($L115+SUM($W115:AC115))*(V$11*V115)</f>
        <v>0</v>
      </c>
      <c r="AE115" s="111">
        <f t="shared" si="117"/>
        <v>0</v>
      </c>
    </row>
    <row r="116" spans="1:31" ht="12.75">
      <c r="A116" s="16">
        <v>1</v>
      </c>
      <c r="B116" s="15">
        <f t="shared" si="100"/>
        <v>42370</v>
      </c>
      <c r="C116" s="242">
        <f t="shared" si="105"/>
        <v>42403</v>
      </c>
      <c r="D116" s="242">
        <f t="shared" si="105"/>
        <v>42418</v>
      </c>
      <c r="E116" s="118" t="s">
        <v>136</v>
      </c>
      <c r="F116" s="16">
        <v>9</v>
      </c>
      <c r="G116" s="362">
        <v>91</v>
      </c>
      <c r="H116" s="246">
        <f aca="true" t="shared" si="120" ref="H116:H121">$K$3</f>
        <v>1566.72</v>
      </c>
      <c r="I116" s="246">
        <f t="shared" si="99"/>
        <v>1652.23</v>
      </c>
      <c r="J116" s="56">
        <f t="shared" si="101"/>
        <v>150352.93</v>
      </c>
      <c r="K116" s="57">
        <f t="shared" si="83"/>
        <v>142571.52</v>
      </c>
      <c r="L116" s="58">
        <f t="shared" si="113"/>
        <v>7781.4100000000035</v>
      </c>
      <c r="M116" s="55">
        <f t="shared" si="89"/>
        <v>376.49853960144986</v>
      </c>
      <c r="N116" s="29">
        <f t="shared" si="114"/>
        <v>8157.908539601453</v>
      </c>
      <c r="O116" s="16">
        <f t="shared" si="107"/>
        <v>43</v>
      </c>
      <c r="P116" s="16">
        <f t="shared" si="108"/>
        <v>91</v>
      </c>
      <c r="Q116" s="16">
        <f t="shared" si="109"/>
        <v>92</v>
      </c>
      <c r="R116" s="16">
        <f t="shared" si="118"/>
        <v>92</v>
      </c>
      <c r="S116" s="16">
        <f t="shared" si="119"/>
        <v>90</v>
      </c>
      <c r="T116" s="16">
        <f t="shared" si="119"/>
        <v>91</v>
      </c>
      <c r="U116" s="16">
        <f t="shared" si="119"/>
        <v>0</v>
      </c>
      <c r="V116" s="106">
        <f>IF(W$8&lt;V$8,0,IF($D116&lt;V$8,V$12,IF($D116&lt;W$8,W$8-$D116,0)))</f>
        <v>0</v>
      </c>
      <c r="W116" s="141">
        <f>$L116*O$11*O116</f>
        <v>29.79320678082193</v>
      </c>
      <c r="X116" s="63">
        <f>($L116+SUM($W116:W116))*(P$11*P116)</f>
        <v>67.31687790084806</v>
      </c>
      <c r="Y116" s="63">
        <f>($L116+SUM($W116:X116))*(Q$11*Q116)</f>
        <v>69.50365663746572</v>
      </c>
      <c r="Z116" s="63">
        <f>($L116+SUM($W116:Y116))*(R$11*R116)</f>
        <v>70.11681218369215</v>
      </c>
      <c r="AA116" s="63">
        <f>($L116+SUM($W116:Z116))*(S$11*S116)</f>
        <v>69.19765135214773</v>
      </c>
      <c r="AB116" s="63">
        <f>($L116+SUM($W116:AA116))*(T$11*T116)</f>
        <v>70.57033474647427</v>
      </c>
      <c r="AC116" s="63">
        <f>($L116+SUM($W116:AB116))*(U$11*U116)</f>
        <v>0</v>
      </c>
      <c r="AD116" s="63">
        <f>($L116+SUM($W116:AC116))*(V$11*V116)</f>
        <v>0</v>
      </c>
      <c r="AE116" s="110">
        <f aca="true" t="shared" si="121" ref="AE116:AE121">SUM(W116:AD116)</f>
        <v>376.49853960144986</v>
      </c>
    </row>
    <row r="117" spans="1:31" ht="12.75">
      <c r="A117" s="3">
        <v>2</v>
      </c>
      <c r="B117" s="15">
        <f t="shared" si="100"/>
        <v>42401</v>
      </c>
      <c r="C117" s="243">
        <f t="shared" si="105"/>
        <v>42432</v>
      </c>
      <c r="D117" s="243">
        <f t="shared" si="105"/>
        <v>42447</v>
      </c>
      <c r="E117" s="70" t="s">
        <v>136</v>
      </c>
      <c r="F117" s="3">
        <v>9</v>
      </c>
      <c r="G117" s="362">
        <v>90</v>
      </c>
      <c r="H117" s="246">
        <f t="shared" si="120"/>
        <v>1566.72</v>
      </c>
      <c r="I117" s="246">
        <f t="shared" si="99"/>
        <v>1652.23</v>
      </c>
      <c r="J117" s="56">
        <f t="shared" si="101"/>
        <v>148700.7</v>
      </c>
      <c r="K117" s="57">
        <f t="shared" si="83"/>
        <v>141004.8</v>
      </c>
      <c r="L117" s="58">
        <f t="shared" si="113"/>
        <v>7695.900000000023</v>
      </c>
      <c r="M117" s="55">
        <f t="shared" si="89"/>
        <v>351.60685878685126</v>
      </c>
      <c r="N117" s="29">
        <f t="shared" si="114"/>
        <v>8047.506858786875</v>
      </c>
      <c r="O117" s="16">
        <f t="shared" si="107"/>
        <v>14</v>
      </c>
      <c r="P117" s="16">
        <f t="shared" si="108"/>
        <v>91</v>
      </c>
      <c r="Q117" s="16">
        <f t="shared" si="109"/>
        <v>92</v>
      </c>
      <c r="R117" s="16">
        <f t="shared" si="118"/>
        <v>92</v>
      </c>
      <c r="S117" s="16">
        <f t="shared" si="119"/>
        <v>90</v>
      </c>
      <c r="T117" s="16">
        <f t="shared" si="119"/>
        <v>91</v>
      </c>
      <c r="U117" s="16">
        <f t="shared" si="119"/>
        <v>0</v>
      </c>
      <c r="V117" s="106">
        <f aca="true" t="shared" si="122" ref="V117:V127">IF(W$8&lt;V$8,0,IF($D117&lt;V$8,V$12,IF($D117&lt;W$8,W$8-$D117,0)))</f>
        <v>0</v>
      </c>
      <c r="W117" s="141">
        <f aca="true" t="shared" si="123" ref="W117:W127">$L117*O$11*O117</f>
        <v>9.59351917808222</v>
      </c>
      <c r="X117" s="63">
        <f>($L117+SUM($W117:W117))*(P$11*P117)</f>
        <v>66.4058727784731</v>
      </c>
      <c r="Y117" s="63">
        <f>($L117+SUM($W117:X117))*(Q$11*Q117)</f>
        <v>68.56305764958955</v>
      </c>
      <c r="Z117" s="63">
        <f>($L117+SUM($W117:Y117))*(R$11*R117)</f>
        <v>69.16791530885442</v>
      </c>
      <c r="AA117" s="63">
        <f>($L117+SUM($W117:Z117))*(S$11*S117)</f>
        <v>68.26119356022554</v>
      </c>
      <c r="AB117" s="63">
        <f>($L117+SUM($W117:AA117))*(T$11*T117)</f>
        <v>69.61530031162648</v>
      </c>
      <c r="AC117" s="63">
        <f>($L117+SUM($W117:AB117))*(U$11*U117)</f>
        <v>0</v>
      </c>
      <c r="AD117" s="63">
        <f>($L117+SUM($W117:AC117))*(V$11*V117)</f>
        <v>0</v>
      </c>
      <c r="AE117" s="110">
        <f t="shared" si="121"/>
        <v>351.60685878685126</v>
      </c>
    </row>
    <row r="118" spans="1:31" ht="12.75">
      <c r="A118" s="3">
        <v>3</v>
      </c>
      <c r="B118" s="15">
        <f t="shared" si="100"/>
        <v>42430</v>
      </c>
      <c r="C118" s="243">
        <f t="shared" si="105"/>
        <v>42465</v>
      </c>
      <c r="D118" s="243">
        <f t="shared" si="105"/>
        <v>42480</v>
      </c>
      <c r="E118" s="70" t="s">
        <v>136</v>
      </c>
      <c r="F118" s="3">
        <v>9</v>
      </c>
      <c r="G118" s="362">
        <v>75</v>
      </c>
      <c r="H118" s="246">
        <f t="shared" si="120"/>
        <v>1566.72</v>
      </c>
      <c r="I118" s="246">
        <f t="shared" si="99"/>
        <v>1652.23</v>
      </c>
      <c r="J118" s="56">
        <f t="shared" si="101"/>
        <v>123917.25</v>
      </c>
      <c r="K118" s="57">
        <f t="shared" si="83"/>
        <v>117504</v>
      </c>
      <c r="L118" s="58">
        <f>+J118-K118</f>
        <v>6413.25</v>
      </c>
      <c r="M118" s="55">
        <f t="shared" si="89"/>
        <v>272.7072974747934</v>
      </c>
      <c r="N118" s="29">
        <f>SUM(L118:M118)</f>
        <v>6685.957297474793</v>
      </c>
      <c r="O118" s="16">
        <f t="shared" si="107"/>
        <v>0</v>
      </c>
      <c r="P118" s="16">
        <f t="shared" si="108"/>
        <v>72</v>
      </c>
      <c r="Q118" s="16">
        <f t="shared" si="109"/>
        <v>92</v>
      </c>
      <c r="R118" s="16">
        <f t="shared" si="118"/>
        <v>92</v>
      </c>
      <c r="S118" s="16">
        <f t="shared" si="119"/>
        <v>90</v>
      </c>
      <c r="T118" s="16">
        <f t="shared" si="119"/>
        <v>91</v>
      </c>
      <c r="U118" s="16">
        <f t="shared" si="119"/>
        <v>0</v>
      </c>
      <c r="V118" s="106">
        <f t="shared" si="122"/>
        <v>0</v>
      </c>
      <c r="W118" s="141">
        <f t="shared" si="123"/>
        <v>0</v>
      </c>
      <c r="X118" s="63">
        <f>($L118+SUM($W118:W118))*(P$11*P118)</f>
        <v>43.729579726027396</v>
      </c>
      <c r="Y118" s="63">
        <f>($L118+SUM($W118:X118))*(Q$11*Q118)</f>
        <v>56.962943141692634</v>
      </c>
      <c r="Z118" s="63">
        <f>($L118+SUM($W118:Y118))*(R$11*R118)</f>
        <v>57.46546554420291</v>
      </c>
      <c r="AA118" s="63">
        <f>($L118+SUM($W118:Z118))*(S$11*S118)</f>
        <v>56.71215113287003</v>
      </c>
      <c r="AB118" s="63">
        <f>($L118+SUM($W118:AA118))*(T$11*T118)</f>
        <v>57.83715793000046</v>
      </c>
      <c r="AC118" s="63">
        <f>($L118+SUM($W118:AB118))*(U$11*U118)</f>
        <v>0</v>
      </c>
      <c r="AD118" s="63">
        <f>($L118+SUM($W118:AC118))*(V$11*V118)</f>
        <v>0</v>
      </c>
      <c r="AE118" s="110">
        <f t="shared" si="121"/>
        <v>272.7072974747934</v>
      </c>
    </row>
    <row r="119" spans="1:31" ht="12.75">
      <c r="A119" s="16">
        <v>4</v>
      </c>
      <c r="B119" s="15">
        <f t="shared" si="100"/>
        <v>42461</v>
      </c>
      <c r="C119" s="243">
        <f t="shared" si="105"/>
        <v>42494</v>
      </c>
      <c r="D119" s="243">
        <f t="shared" si="105"/>
        <v>42509</v>
      </c>
      <c r="E119" s="30" t="s">
        <v>136</v>
      </c>
      <c r="F119" s="3">
        <v>9</v>
      </c>
      <c r="G119" s="362">
        <v>59</v>
      </c>
      <c r="H119" s="246">
        <f t="shared" si="120"/>
        <v>1566.72</v>
      </c>
      <c r="I119" s="246">
        <f t="shared" si="99"/>
        <v>1652.23</v>
      </c>
      <c r="J119" s="56">
        <f t="shared" si="101"/>
        <v>97481.57</v>
      </c>
      <c r="K119" s="57">
        <f t="shared" si="83"/>
        <v>92436.48</v>
      </c>
      <c r="L119" s="58">
        <f aca="true" t="shared" si="124" ref="L119:L129">+J119-K119</f>
        <v>5045.090000000011</v>
      </c>
      <c r="M119" s="55">
        <f t="shared" si="89"/>
        <v>200.18258738266715</v>
      </c>
      <c r="N119" s="29">
        <f aca="true" t="shared" si="125" ref="N119:N129">SUM(L119:M119)</f>
        <v>5245.2725873826785</v>
      </c>
      <c r="O119" s="16">
        <f aca="true" t="shared" si="126" ref="O119:U119">IF($D119&lt;O$8,O$12,IF($D119&lt;P$8,P$8-$D119,0))</f>
        <v>0</v>
      </c>
      <c r="P119" s="16">
        <f t="shared" si="126"/>
        <v>43</v>
      </c>
      <c r="Q119" s="16">
        <f t="shared" si="126"/>
        <v>92</v>
      </c>
      <c r="R119" s="16">
        <f t="shared" si="126"/>
        <v>92</v>
      </c>
      <c r="S119" s="16">
        <f t="shared" si="126"/>
        <v>90</v>
      </c>
      <c r="T119" s="16">
        <f t="shared" si="126"/>
        <v>91</v>
      </c>
      <c r="U119" s="16">
        <f t="shared" si="126"/>
        <v>0</v>
      </c>
      <c r="V119" s="106">
        <f>IF(W$8&lt;V$8,0,IF($D119&lt;V$8,V$12,IF($D119&lt;W$8,W$8-$D119,0)))</f>
        <v>0</v>
      </c>
      <c r="W119" s="141">
        <f>$L119*O$11*O119</f>
        <v>0</v>
      </c>
      <c r="X119" s="63">
        <f>($L119+SUM($W119:W119))*(P$11*P119)</f>
        <v>20.544804400913286</v>
      </c>
      <c r="Y119" s="63">
        <f>($L119+SUM($W119:X119))*(Q$11*Q119)</f>
        <v>44.688613890879395</v>
      </c>
      <c r="Z119" s="63">
        <f>($L119+SUM($W119:Y119))*(R$11*R119)</f>
        <v>45.08285316958798</v>
      </c>
      <c r="AA119" s="63">
        <f>($L119+SUM($W119:Z119))*(S$11*S119)</f>
        <v>44.491862342749</v>
      </c>
      <c r="AB119" s="63">
        <f>($L119+SUM($W119:AA119))*(T$11*T119)</f>
        <v>45.3744535785375</v>
      </c>
      <c r="AC119" s="63">
        <f>($L119+SUM($W119:AB119))*(U$11*U119)</f>
        <v>0</v>
      </c>
      <c r="AD119" s="63">
        <f>($L119+SUM($W119:AC119))*(V$11*V119)</f>
        <v>0</v>
      </c>
      <c r="AE119" s="110">
        <f t="shared" si="121"/>
        <v>200.18258738266715</v>
      </c>
    </row>
    <row r="120" spans="1:31" ht="12.75">
      <c r="A120" s="3">
        <v>5</v>
      </c>
      <c r="B120" s="15">
        <f t="shared" si="100"/>
        <v>42491</v>
      </c>
      <c r="C120" s="243">
        <f t="shared" si="105"/>
        <v>42524</v>
      </c>
      <c r="D120" s="243">
        <f t="shared" si="105"/>
        <v>42541</v>
      </c>
      <c r="E120" s="30" t="s">
        <v>136</v>
      </c>
      <c r="F120" s="3">
        <v>9</v>
      </c>
      <c r="G120" s="362">
        <v>64</v>
      </c>
      <c r="H120" s="246">
        <f t="shared" si="120"/>
        <v>1566.72</v>
      </c>
      <c r="I120" s="246">
        <f t="shared" si="99"/>
        <v>1652.23</v>
      </c>
      <c r="J120" s="56">
        <f t="shared" si="101"/>
        <v>105742.72</v>
      </c>
      <c r="K120" s="57">
        <f t="shared" si="83"/>
        <v>100270.08</v>
      </c>
      <c r="L120" s="58">
        <f t="shared" si="124"/>
        <v>5472.639999999999</v>
      </c>
      <c r="M120" s="55">
        <f t="shared" si="89"/>
        <v>199.97423274631268</v>
      </c>
      <c r="N120" s="29">
        <f t="shared" si="125"/>
        <v>5672.614232746312</v>
      </c>
      <c r="O120" s="16">
        <f t="shared" si="107"/>
        <v>0</v>
      </c>
      <c r="P120" s="16">
        <f t="shared" si="108"/>
        <v>11</v>
      </c>
      <c r="Q120" s="16">
        <f t="shared" si="109"/>
        <v>92</v>
      </c>
      <c r="R120" s="16">
        <f t="shared" si="118"/>
        <v>92</v>
      </c>
      <c r="S120" s="16">
        <f t="shared" si="119"/>
        <v>90</v>
      </c>
      <c r="T120" s="16">
        <f t="shared" si="119"/>
        <v>91</v>
      </c>
      <c r="U120" s="16">
        <f t="shared" si="119"/>
        <v>0</v>
      </c>
      <c r="V120" s="106">
        <f t="shared" si="122"/>
        <v>0</v>
      </c>
      <c r="W120" s="141">
        <f t="shared" si="123"/>
        <v>0</v>
      </c>
      <c r="X120" s="63">
        <f>($L120+SUM($W120:W120))*(P$11*P120)</f>
        <v>5.701041505022831</v>
      </c>
      <c r="Y120" s="63">
        <f>($L120+SUM($W120:X120))*(Q$11*Q120)</f>
        <v>48.32947439355116</v>
      </c>
      <c r="Z120" s="63">
        <f>($L120+SUM($W120:Y120))*(R$11*R120)</f>
        <v>48.7558330443655</v>
      </c>
      <c r="AA120" s="63">
        <f>($L120+SUM($W120:Z120))*(S$11*S120)</f>
        <v>48.11669314841166</v>
      </c>
      <c r="AB120" s="63">
        <f>($L120+SUM($W120:AA120))*(T$11*T120)</f>
        <v>49.07119065496151</v>
      </c>
      <c r="AC120" s="63">
        <f>($L120+SUM($W120:AB120))*(U$11*U120)</f>
        <v>0</v>
      </c>
      <c r="AD120" s="63">
        <f>($L120+SUM($W120:AC120))*(V$11*V120)</f>
        <v>0</v>
      </c>
      <c r="AE120" s="110">
        <f t="shared" si="121"/>
        <v>199.97423274631268</v>
      </c>
    </row>
    <row r="121" spans="1:31" ht="12.75">
      <c r="A121" s="3">
        <v>6</v>
      </c>
      <c r="B121" s="15">
        <f t="shared" si="100"/>
        <v>42522</v>
      </c>
      <c r="C121" s="243">
        <f t="shared" si="105"/>
        <v>42557</v>
      </c>
      <c r="D121" s="243">
        <f t="shared" si="105"/>
        <v>42572</v>
      </c>
      <c r="E121" s="30" t="s">
        <v>136</v>
      </c>
      <c r="F121" s="3">
        <v>9</v>
      </c>
      <c r="G121" s="362">
        <v>81</v>
      </c>
      <c r="H121" s="246">
        <f t="shared" si="120"/>
        <v>1566.72</v>
      </c>
      <c r="I121" s="246">
        <f t="shared" si="99"/>
        <v>1652.23</v>
      </c>
      <c r="J121" s="56">
        <f t="shared" si="101"/>
        <v>133830.63</v>
      </c>
      <c r="K121" s="57">
        <f t="shared" si="83"/>
        <v>126904.32</v>
      </c>
      <c r="L121" s="77">
        <f t="shared" si="124"/>
        <v>6926.309999999998</v>
      </c>
      <c r="M121" s="78">
        <f t="shared" si="89"/>
        <v>231.98702600616718</v>
      </c>
      <c r="N121" s="76">
        <f t="shared" si="125"/>
        <v>7158.297026006165</v>
      </c>
      <c r="O121" s="16">
        <f t="shared" si="107"/>
        <v>0</v>
      </c>
      <c r="P121" s="16">
        <f t="shared" si="108"/>
        <v>0</v>
      </c>
      <c r="Q121" s="16">
        <f t="shared" si="109"/>
        <v>72</v>
      </c>
      <c r="R121" s="16">
        <f t="shared" si="118"/>
        <v>92</v>
      </c>
      <c r="S121" s="16">
        <f t="shared" si="119"/>
        <v>90</v>
      </c>
      <c r="T121" s="16">
        <f t="shared" si="119"/>
        <v>91</v>
      </c>
      <c r="U121" s="16">
        <f t="shared" si="119"/>
        <v>0</v>
      </c>
      <c r="V121" s="106">
        <f t="shared" si="122"/>
        <v>0</v>
      </c>
      <c r="W121" s="141">
        <f t="shared" si="123"/>
        <v>0</v>
      </c>
      <c r="X121" s="63">
        <f>($L121+SUM($W121:W121))*(P$11*P121)</f>
        <v>0</v>
      </c>
      <c r="Y121" s="63">
        <f>($L121+SUM($W121:X121))*(Q$11*Q121)</f>
        <v>47.82000328767122</v>
      </c>
      <c r="Z121" s="63">
        <f>($L121+SUM($W121:Y121))*(R$11*R121)</f>
        <v>61.52520167283917</v>
      </c>
      <c r="AA121" s="63">
        <f>($L121+SUM($W121:Z121))*(S$11*S121)</f>
        <v>60.71866820719343</v>
      </c>
      <c r="AB121" s="63">
        <f>($L121+SUM($W121:AA121))*(T$11*T121)</f>
        <v>61.923152838463366</v>
      </c>
      <c r="AC121" s="63">
        <f>($L121+SUM($W121:AB121))*(U$11*U121)</f>
        <v>0</v>
      </c>
      <c r="AD121" s="63">
        <f>($L121+SUM($W121:AC121))*(V$11*V121)</f>
        <v>0</v>
      </c>
      <c r="AE121" s="110">
        <f t="shared" si="121"/>
        <v>231.98702600616718</v>
      </c>
    </row>
    <row r="122" spans="1:31" ht="12.75">
      <c r="A122" s="16">
        <v>7</v>
      </c>
      <c r="B122" s="15">
        <f t="shared" si="100"/>
        <v>42552</v>
      </c>
      <c r="C122" s="243">
        <f t="shared" si="105"/>
        <v>42585</v>
      </c>
      <c r="D122" s="243">
        <f t="shared" si="105"/>
        <v>42600</v>
      </c>
      <c r="E122" s="30" t="s">
        <v>136</v>
      </c>
      <c r="F122" s="3">
        <v>9</v>
      </c>
      <c r="G122" s="362">
        <v>98</v>
      </c>
      <c r="H122" s="246">
        <f aca="true" t="shared" si="127" ref="H122:H127">$K$8</f>
        <v>1623.7</v>
      </c>
      <c r="I122" s="246">
        <f t="shared" si="99"/>
        <v>1652.23</v>
      </c>
      <c r="J122" s="56">
        <f t="shared" si="101"/>
        <v>161918.54</v>
      </c>
      <c r="K122" s="74">
        <f t="shared" si="83"/>
        <v>159122.6</v>
      </c>
      <c r="L122" s="77">
        <f t="shared" si="124"/>
        <v>2795.9400000000023</v>
      </c>
      <c r="M122" s="75">
        <f t="shared" si="89"/>
        <v>85.94094006561143</v>
      </c>
      <c r="N122" s="76">
        <f t="shared" si="125"/>
        <v>2881.8809400656137</v>
      </c>
      <c r="O122" s="16">
        <f t="shared" si="107"/>
        <v>0</v>
      </c>
      <c r="P122" s="16">
        <f t="shared" si="108"/>
        <v>0</v>
      </c>
      <c r="Q122" s="16">
        <f t="shared" si="109"/>
        <v>44</v>
      </c>
      <c r="R122" s="16">
        <f t="shared" si="118"/>
        <v>92</v>
      </c>
      <c r="S122" s="16">
        <f t="shared" si="119"/>
        <v>90</v>
      </c>
      <c r="T122" s="16">
        <f t="shared" si="119"/>
        <v>91</v>
      </c>
      <c r="U122" s="16">
        <f t="shared" si="119"/>
        <v>0</v>
      </c>
      <c r="V122" s="106">
        <f t="shared" si="122"/>
        <v>0</v>
      </c>
      <c r="W122" s="141">
        <f t="shared" si="123"/>
        <v>0</v>
      </c>
      <c r="X122" s="63">
        <f>($L122+SUM($W122:W122))*(P$11*P122)</f>
        <v>0</v>
      </c>
      <c r="Y122" s="63">
        <f>($L122+SUM($W122:X122))*(Q$11*Q122)</f>
        <v>11.7965687671233</v>
      </c>
      <c r="Z122" s="63">
        <f>($L122+SUM($W122:Y122))*(R$11*R122)</f>
        <v>24.769621236794922</v>
      </c>
      <c r="AA122" s="63">
        <f>($L122+SUM($W122:Z122))*(S$11*S122)</f>
        <v>24.44491643428041</v>
      </c>
      <c r="AB122" s="63">
        <f>($L122+SUM($W122:AA122))*(T$11*T122)</f>
        <v>24.929833627412794</v>
      </c>
      <c r="AC122" s="63">
        <f>($L122+SUM($W122:AB122))*(U$11*U122)</f>
        <v>0</v>
      </c>
      <c r="AD122" s="63">
        <f>($L122+SUM($W122:AC122))*(V$11*V122)</f>
        <v>0</v>
      </c>
      <c r="AE122" s="110">
        <f aca="true" t="shared" si="128" ref="AE122:AE127">SUM(W122:AD122)</f>
        <v>85.94094006561143</v>
      </c>
    </row>
    <row r="123" spans="1:31" ht="12.75">
      <c r="A123" s="3">
        <v>8</v>
      </c>
      <c r="B123" s="15">
        <f t="shared" si="100"/>
        <v>42583</v>
      </c>
      <c r="C123" s="243">
        <f t="shared" si="105"/>
        <v>42619</v>
      </c>
      <c r="D123" s="243">
        <f t="shared" si="105"/>
        <v>42634</v>
      </c>
      <c r="E123" s="30" t="s">
        <v>136</v>
      </c>
      <c r="F123" s="3">
        <v>9</v>
      </c>
      <c r="G123" s="362">
        <v>94</v>
      </c>
      <c r="H123" s="246">
        <f t="shared" si="127"/>
        <v>1623.7</v>
      </c>
      <c r="I123" s="246">
        <f t="shared" si="99"/>
        <v>1652.23</v>
      </c>
      <c r="J123" s="56">
        <f t="shared" si="101"/>
        <v>155309.62</v>
      </c>
      <c r="K123" s="74">
        <f t="shared" si="83"/>
        <v>152627.80000000002</v>
      </c>
      <c r="L123" s="77">
        <f t="shared" si="124"/>
        <v>2681.819999999978</v>
      </c>
      <c r="M123" s="75">
        <f t="shared" si="89"/>
        <v>73.4587884213228</v>
      </c>
      <c r="N123" s="76">
        <f t="shared" si="125"/>
        <v>2755.2787884213008</v>
      </c>
      <c r="O123" s="16">
        <f t="shared" si="107"/>
        <v>0</v>
      </c>
      <c r="P123" s="16">
        <f t="shared" si="108"/>
        <v>0</v>
      </c>
      <c r="Q123" s="16">
        <f t="shared" si="109"/>
        <v>10</v>
      </c>
      <c r="R123" s="16">
        <f t="shared" si="118"/>
        <v>92</v>
      </c>
      <c r="S123" s="16">
        <f t="shared" si="119"/>
        <v>90</v>
      </c>
      <c r="T123" s="16">
        <f t="shared" si="119"/>
        <v>91</v>
      </c>
      <c r="U123" s="16">
        <f t="shared" si="119"/>
        <v>0</v>
      </c>
      <c r="V123" s="106">
        <f t="shared" si="122"/>
        <v>0</v>
      </c>
      <c r="W123" s="141">
        <f t="shared" si="123"/>
        <v>0</v>
      </c>
      <c r="X123" s="63">
        <f>($L123+SUM($W123:W123))*(P$11*P123)</f>
        <v>0</v>
      </c>
      <c r="Y123" s="63">
        <f>($L123+SUM($W123:X123))*(Q$11*Q123)</f>
        <v>2.5716082191780614</v>
      </c>
      <c r="Z123" s="63">
        <f>($L123+SUM($W123:Y123))*(R$11*R123)</f>
        <v>23.681482132782694</v>
      </c>
      <c r="AA123" s="63">
        <f>($L123+SUM($W123:Z123))*(S$11*S123)</f>
        <v>23.37104173865372</v>
      </c>
      <c r="AB123" s="63">
        <f>($L123+SUM($W123:AA123))*(T$11*T123)</f>
        <v>23.83465633070832</v>
      </c>
      <c r="AC123" s="63">
        <f>($L123+SUM($W123:AB123))*(U$11*U123)</f>
        <v>0</v>
      </c>
      <c r="AD123" s="63">
        <f>($L123+SUM($W123:AC123))*(V$11*V123)</f>
        <v>0</v>
      </c>
      <c r="AE123" s="110">
        <f t="shared" si="128"/>
        <v>73.4587884213228</v>
      </c>
    </row>
    <row r="124" spans="1:31" ht="12.75">
      <c r="A124" s="3">
        <v>9</v>
      </c>
      <c r="B124" s="15">
        <f t="shared" si="100"/>
        <v>42614</v>
      </c>
      <c r="C124" s="243">
        <f aca="true" t="shared" si="129" ref="C124:D143">+C112</f>
        <v>42648</v>
      </c>
      <c r="D124" s="243">
        <f t="shared" si="129"/>
        <v>42663</v>
      </c>
      <c r="E124" s="30" t="s">
        <v>136</v>
      </c>
      <c r="F124" s="3">
        <v>9</v>
      </c>
      <c r="G124" s="362">
        <v>85</v>
      </c>
      <c r="H124" s="246">
        <f t="shared" si="127"/>
        <v>1623.7</v>
      </c>
      <c r="I124" s="246">
        <f t="shared" si="99"/>
        <v>1652.23</v>
      </c>
      <c r="J124" s="56">
        <f t="shared" si="101"/>
        <v>140439.55</v>
      </c>
      <c r="K124" s="74">
        <f t="shared" si="83"/>
        <v>138014.5</v>
      </c>
      <c r="L124" s="77">
        <f t="shared" si="124"/>
        <v>2425.0499999999884</v>
      </c>
      <c r="M124" s="75">
        <f t="shared" si="89"/>
        <v>59.54344454682998</v>
      </c>
      <c r="N124" s="76">
        <f t="shared" si="125"/>
        <v>2484.5934445468183</v>
      </c>
      <c r="O124" s="16">
        <f t="shared" si="107"/>
        <v>0</v>
      </c>
      <c r="P124" s="16">
        <f t="shared" si="108"/>
        <v>0</v>
      </c>
      <c r="Q124" s="16">
        <f t="shared" si="109"/>
        <v>0</v>
      </c>
      <c r="R124" s="16">
        <f t="shared" si="118"/>
        <v>73</v>
      </c>
      <c r="S124" s="16">
        <f t="shared" si="119"/>
        <v>90</v>
      </c>
      <c r="T124" s="16">
        <f t="shared" si="119"/>
        <v>91</v>
      </c>
      <c r="U124" s="16">
        <f t="shared" si="119"/>
        <v>0</v>
      </c>
      <c r="V124" s="106">
        <f t="shared" si="122"/>
        <v>0</v>
      </c>
      <c r="W124" s="141">
        <f t="shared" si="123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16.97534999999992</v>
      </c>
      <c r="AA124" s="63">
        <f>($L124+SUM($W124:Z124))*(S$11*S124)</f>
        <v>21.075013294520446</v>
      </c>
      <c r="AB124" s="63">
        <f>($L124+SUM($W124:AA124))*(T$11*T124)</f>
        <v>21.493081252309615</v>
      </c>
      <c r="AC124" s="63">
        <f>($L124+SUM($W124:AB124))*(U$11*U124)</f>
        <v>0</v>
      </c>
      <c r="AD124" s="63">
        <f>($L124+SUM($W124:AC124))*(V$11*V124)</f>
        <v>0</v>
      </c>
      <c r="AE124" s="110">
        <f t="shared" si="128"/>
        <v>59.54344454682998</v>
      </c>
    </row>
    <row r="125" spans="1:31" ht="12.75">
      <c r="A125" s="16">
        <v>10</v>
      </c>
      <c r="B125" s="15">
        <f t="shared" si="100"/>
        <v>42644</v>
      </c>
      <c r="C125" s="243">
        <f t="shared" si="129"/>
        <v>42677</v>
      </c>
      <c r="D125" s="243">
        <f t="shared" si="129"/>
        <v>42692</v>
      </c>
      <c r="E125" s="30" t="s">
        <v>136</v>
      </c>
      <c r="F125" s="3">
        <v>9</v>
      </c>
      <c r="G125" s="362">
        <v>69</v>
      </c>
      <c r="H125" s="246">
        <f t="shared" si="127"/>
        <v>1623.7</v>
      </c>
      <c r="I125" s="246">
        <f t="shared" si="99"/>
        <v>1652.23</v>
      </c>
      <c r="J125" s="56">
        <f t="shared" si="101"/>
        <v>114003.87</v>
      </c>
      <c r="K125" s="74">
        <f t="shared" si="83"/>
        <v>112035.3</v>
      </c>
      <c r="L125" s="77">
        <f t="shared" si="124"/>
        <v>1968.5699999999924</v>
      </c>
      <c r="M125" s="75">
        <f t="shared" si="89"/>
        <v>42.765600044793985</v>
      </c>
      <c r="N125" s="76">
        <f t="shared" si="125"/>
        <v>2011.3356000447864</v>
      </c>
      <c r="O125" s="16">
        <f t="shared" si="107"/>
        <v>0</v>
      </c>
      <c r="P125" s="16">
        <f t="shared" si="108"/>
        <v>0</v>
      </c>
      <c r="Q125" s="16">
        <f t="shared" si="109"/>
        <v>0</v>
      </c>
      <c r="R125" s="16">
        <f t="shared" si="118"/>
        <v>44</v>
      </c>
      <c r="S125" s="16">
        <f t="shared" si="119"/>
        <v>90</v>
      </c>
      <c r="T125" s="16">
        <f t="shared" si="119"/>
        <v>91</v>
      </c>
      <c r="U125" s="16">
        <f t="shared" si="119"/>
        <v>0</v>
      </c>
      <c r="V125" s="106">
        <f t="shared" si="122"/>
        <v>0</v>
      </c>
      <c r="W125" s="141">
        <f t="shared" si="123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8.305747397260244</v>
      </c>
      <c r="AA125" s="63">
        <f>($L125+SUM($W125:Z125))*(S$11*S125)</f>
        <v>17.060708504935196</v>
      </c>
      <c r="AB125" s="63">
        <f>($L125+SUM($W125:AA125))*(T$11*T125)</f>
        <v>17.399144142598544</v>
      </c>
      <c r="AC125" s="63">
        <f>($L125+SUM($W125:AB125))*(U$11*U125)</f>
        <v>0</v>
      </c>
      <c r="AD125" s="63">
        <f>($L125+SUM($W125:AC125))*(V$11*V125)</f>
        <v>0</v>
      </c>
      <c r="AE125" s="110">
        <f t="shared" si="128"/>
        <v>42.765600044793985</v>
      </c>
    </row>
    <row r="126" spans="1:31" ht="12.75">
      <c r="A126" s="3">
        <v>11</v>
      </c>
      <c r="B126" s="15">
        <f t="shared" si="100"/>
        <v>42675</v>
      </c>
      <c r="C126" s="243">
        <f t="shared" si="129"/>
        <v>42709</v>
      </c>
      <c r="D126" s="243">
        <f t="shared" si="129"/>
        <v>42724</v>
      </c>
      <c r="E126" s="30" t="s">
        <v>136</v>
      </c>
      <c r="F126" s="3">
        <v>9</v>
      </c>
      <c r="G126" s="362">
        <v>512</v>
      </c>
      <c r="H126" s="246">
        <f t="shared" si="127"/>
        <v>1623.7</v>
      </c>
      <c r="I126" s="246">
        <f t="shared" si="99"/>
        <v>1652.23</v>
      </c>
      <c r="J126" s="56">
        <f t="shared" si="101"/>
        <v>845941.76</v>
      </c>
      <c r="K126" s="74">
        <f t="shared" si="83"/>
        <v>831334.4</v>
      </c>
      <c r="L126" s="77">
        <f t="shared" si="124"/>
        <v>14607.359999999986</v>
      </c>
      <c r="M126" s="75">
        <f t="shared" si="89"/>
        <v>271.7292404650759</v>
      </c>
      <c r="N126" s="76">
        <f t="shared" si="125"/>
        <v>14879.089240465062</v>
      </c>
      <c r="O126" s="16">
        <f t="shared" si="107"/>
        <v>0</v>
      </c>
      <c r="P126" s="16">
        <f t="shared" si="108"/>
        <v>0</v>
      </c>
      <c r="Q126" s="16">
        <f t="shared" si="109"/>
        <v>0</v>
      </c>
      <c r="R126" s="16">
        <f t="shared" si="118"/>
        <v>12</v>
      </c>
      <c r="S126" s="16">
        <f t="shared" si="119"/>
        <v>90</v>
      </c>
      <c r="T126" s="16">
        <f t="shared" si="119"/>
        <v>91</v>
      </c>
      <c r="U126" s="16">
        <f t="shared" si="119"/>
        <v>0</v>
      </c>
      <c r="V126" s="106">
        <f t="shared" si="122"/>
        <v>0</v>
      </c>
      <c r="W126" s="141">
        <f t="shared" si="123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16.808469041095876</v>
      </c>
      <c r="AA126" s="63">
        <f>($L126+SUM($W126:Z126))*(S$11*S126)</f>
        <v>126.20857719857374</v>
      </c>
      <c r="AB126" s="63">
        <f>($L126+SUM($W126:AA126))*(T$11*T126)</f>
        <v>128.7121942254063</v>
      </c>
      <c r="AC126" s="63">
        <f>($L126+SUM($W126:AB126))*(U$11*U126)</f>
        <v>0</v>
      </c>
      <c r="AD126" s="63">
        <f>($L126+SUM($W126:AC126))*(V$11*V126)</f>
        <v>0</v>
      </c>
      <c r="AE126" s="110">
        <f t="shared" si="128"/>
        <v>271.7292404650759</v>
      </c>
    </row>
    <row r="127" spans="1:31" s="69" customFormat="1" ht="12.75">
      <c r="A127" s="3">
        <v>12</v>
      </c>
      <c r="B127" s="83">
        <f t="shared" si="100"/>
        <v>42705</v>
      </c>
      <c r="C127" s="243">
        <f t="shared" si="129"/>
        <v>42740</v>
      </c>
      <c r="D127" s="243">
        <f t="shared" si="129"/>
        <v>42755</v>
      </c>
      <c r="E127" s="84" t="s">
        <v>136</v>
      </c>
      <c r="F127" s="81">
        <v>9</v>
      </c>
      <c r="G127" s="363">
        <v>1033</v>
      </c>
      <c r="H127" s="247">
        <f t="shared" si="127"/>
        <v>1623.7</v>
      </c>
      <c r="I127" s="247">
        <f t="shared" si="99"/>
        <v>1652.23</v>
      </c>
      <c r="J127" s="85">
        <f t="shared" si="101"/>
        <v>1706753.59</v>
      </c>
      <c r="K127" s="86">
        <f t="shared" si="83"/>
        <v>1677282.1</v>
      </c>
      <c r="L127" s="87">
        <f t="shared" si="124"/>
        <v>29471.48999999999</v>
      </c>
      <c r="M127" s="88">
        <f t="shared" si="89"/>
        <v>459.5682557191986</v>
      </c>
      <c r="N127" s="89">
        <f t="shared" si="125"/>
        <v>29931.05825571919</v>
      </c>
      <c r="O127" s="81">
        <f t="shared" si="107"/>
        <v>0</v>
      </c>
      <c r="P127" s="81">
        <f t="shared" si="108"/>
        <v>0</v>
      </c>
      <c r="Q127" s="81">
        <f t="shared" si="109"/>
        <v>0</v>
      </c>
      <c r="R127" s="81">
        <f t="shared" si="118"/>
        <v>0</v>
      </c>
      <c r="S127" s="81">
        <f t="shared" si="119"/>
        <v>71</v>
      </c>
      <c r="T127" s="81">
        <f t="shared" si="119"/>
        <v>91</v>
      </c>
      <c r="U127" s="81">
        <f t="shared" si="119"/>
        <v>0</v>
      </c>
      <c r="V127" s="107">
        <f t="shared" si="122"/>
        <v>0</v>
      </c>
      <c r="W127" s="142">
        <f t="shared" si="123"/>
        <v>0</v>
      </c>
      <c r="X127" s="90">
        <f>($L127+SUM($W127:W127))*(P$11*P127)</f>
        <v>0</v>
      </c>
      <c r="Y127" s="90">
        <f>($L127+SUM($W127:X127))*(Q$11*Q127)</f>
        <v>0</v>
      </c>
      <c r="Z127" s="90">
        <f>($L127+SUM($W127:Y127))*(R$11*R127)</f>
        <v>0</v>
      </c>
      <c r="AA127" s="90">
        <f>($L127+SUM($W127:Z127))*(S$11*S127)</f>
        <v>200.64836342465748</v>
      </c>
      <c r="AB127" s="90">
        <f>($L127+SUM($W127:AA127))*(T$11*T127)</f>
        <v>258.9198922945411</v>
      </c>
      <c r="AC127" s="90">
        <f>($L127+SUM($W127:AB127))*(U$11*U127)</f>
        <v>0</v>
      </c>
      <c r="AD127" s="90">
        <f>($L127+SUM($W127:AC127))*(V$11*V127)</f>
        <v>0</v>
      </c>
      <c r="AE127" s="111">
        <f t="shared" si="128"/>
        <v>459.5682557191986</v>
      </c>
    </row>
    <row r="128" spans="1:31" ht="12.75">
      <c r="A128" s="16">
        <v>1</v>
      </c>
      <c r="B128" s="15">
        <f t="shared" si="100"/>
        <v>42370</v>
      </c>
      <c r="C128" s="242">
        <f t="shared" si="129"/>
        <v>42403</v>
      </c>
      <c r="D128" s="242">
        <f t="shared" si="129"/>
        <v>42418</v>
      </c>
      <c r="E128" s="118" t="s">
        <v>139</v>
      </c>
      <c r="F128" s="16">
        <v>9</v>
      </c>
      <c r="G128" s="362">
        <v>100</v>
      </c>
      <c r="H128" s="246">
        <f aca="true" t="shared" si="130" ref="H128:H133">$K$3</f>
        <v>1566.72</v>
      </c>
      <c r="I128" s="246">
        <f aca="true" t="shared" si="131" ref="I128:I159">$J$3</f>
        <v>1652.23</v>
      </c>
      <c r="J128" s="56">
        <f t="shared" si="101"/>
        <v>165223</v>
      </c>
      <c r="K128" s="57">
        <f t="shared" si="83"/>
        <v>156672</v>
      </c>
      <c r="L128" s="58">
        <f t="shared" si="124"/>
        <v>8551</v>
      </c>
      <c r="M128" s="55">
        <f t="shared" si="89"/>
        <v>413.73465890269193</v>
      </c>
      <c r="N128" s="29">
        <f t="shared" si="125"/>
        <v>8964.734658902691</v>
      </c>
      <c r="O128" s="16">
        <f t="shared" si="107"/>
        <v>43</v>
      </c>
      <c r="P128" s="16">
        <f t="shared" si="108"/>
        <v>91</v>
      </c>
      <c r="Q128" s="16">
        <f t="shared" si="109"/>
        <v>92</v>
      </c>
      <c r="R128" s="16">
        <f t="shared" si="118"/>
        <v>92</v>
      </c>
      <c r="S128" s="16">
        <f t="shared" si="119"/>
        <v>90</v>
      </c>
      <c r="T128" s="16">
        <f t="shared" si="119"/>
        <v>91</v>
      </c>
      <c r="U128" s="16">
        <f t="shared" si="119"/>
        <v>0</v>
      </c>
      <c r="V128" s="106">
        <f>IF(W$8&lt;V$8,0,IF($D128&lt;V$8,V$12,IF($D128&lt;W$8,W$8-$D128,0)))</f>
        <v>0</v>
      </c>
      <c r="W128" s="141">
        <f>$L128*O$11*O128</f>
        <v>32.739787671232875</v>
      </c>
      <c r="X128" s="63">
        <f>($L128+SUM($W128:W128))*(P$11*P128)</f>
        <v>73.97459109983299</v>
      </c>
      <c r="Y128" s="63">
        <f>($L128+SUM($W128:X128))*(Q$11*Q128)</f>
        <v>76.37764465655572</v>
      </c>
      <c r="Z128" s="63">
        <f>($L128+SUM($W128:Y128))*(R$11*R128)</f>
        <v>77.05144196010123</v>
      </c>
      <c r="AA128" s="63">
        <f>($L128+SUM($W128:Z128))*(S$11*S128)</f>
        <v>76.04137511225021</v>
      </c>
      <c r="AB128" s="63">
        <f>($L128+SUM($W128:AA128))*(T$11*T128)</f>
        <v>77.54981840271894</v>
      </c>
      <c r="AC128" s="63">
        <f>($L128+SUM($W128:AB128))*(U$11*U128)</f>
        <v>0</v>
      </c>
      <c r="AD128" s="63">
        <f>($L128+SUM($W128:AC128))*(V$11*V128)</f>
        <v>0</v>
      </c>
      <c r="AE128" s="110">
        <f aca="true" t="shared" si="132" ref="AE128:AE133">SUM(W128:AD128)</f>
        <v>413.73465890269193</v>
      </c>
    </row>
    <row r="129" spans="1:31" ht="12.75">
      <c r="A129" s="3">
        <v>2</v>
      </c>
      <c r="B129" s="15">
        <f t="shared" si="100"/>
        <v>42401</v>
      </c>
      <c r="C129" s="243">
        <f t="shared" si="129"/>
        <v>42432</v>
      </c>
      <c r="D129" s="243">
        <f t="shared" si="129"/>
        <v>42447</v>
      </c>
      <c r="E129" s="70" t="s">
        <v>139</v>
      </c>
      <c r="F129" s="3">
        <v>9</v>
      </c>
      <c r="G129" s="362">
        <v>102</v>
      </c>
      <c r="H129" s="246">
        <f t="shared" si="130"/>
        <v>1566.72</v>
      </c>
      <c r="I129" s="246">
        <f t="shared" si="131"/>
        <v>1652.23</v>
      </c>
      <c r="J129" s="56">
        <f t="shared" si="101"/>
        <v>168527.46</v>
      </c>
      <c r="K129" s="57">
        <f t="shared" si="83"/>
        <v>159805.44</v>
      </c>
      <c r="L129" s="58">
        <f t="shared" si="124"/>
        <v>8722.01999999999</v>
      </c>
      <c r="M129" s="55">
        <f t="shared" si="89"/>
        <v>398.4877732917632</v>
      </c>
      <c r="N129" s="29">
        <f t="shared" si="125"/>
        <v>9120.507773291753</v>
      </c>
      <c r="O129" s="16">
        <f t="shared" si="107"/>
        <v>14</v>
      </c>
      <c r="P129" s="16">
        <f t="shared" si="108"/>
        <v>91</v>
      </c>
      <c r="Q129" s="16">
        <f t="shared" si="109"/>
        <v>92</v>
      </c>
      <c r="R129" s="16">
        <f t="shared" si="118"/>
        <v>92</v>
      </c>
      <c r="S129" s="16">
        <f t="shared" si="119"/>
        <v>90</v>
      </c>
      <c r="T129" s="16">
        <f t="shared" si="119"/>
        <v>91</v>
      </c>
      <c r="U129" s="16">
        <f t="shared" si="119"/>
        <v>0</v>
      </c>
      <c r="V129" s="106">
        <f aca="true" t="shared" si="133" ref="V129:V139">IF(W$8&lt;V$8,0,IF($D129&lt;V$8,V$12,IF($D129&lt;W$8,W$8-$D129,0)))</f>
        <v>0</v>
      </c>
      <c r="W129" s="141">
        <f aca="true" t="shared" si="134" ref="W129:W139">$L129*O$11*O129</f>
        <v>10.872655068493138</v>
      </c>
      <c r="X129" s="63">
        <f>($L129+SUM($W129:W129))*(P$11*P129)</f>
        <v>75.25998914893586</v>
      </c>
      <c r="Y129" s="63">
        <f>($L129+SUM($W129:X129))*(Q$11*Q129)</f>
        <v>77.7047986695345</v>
      </c>
      <c r="Z129" s="63">
        <f>($L129+SUM($W129:Y129))*(R$11*R129)</f>
        <v>78.39030401670135</v>
      </c>
      <c r="AA129" s="63">
        <f>($L129+SUM($W129:Z129))*(S$11*S129)</f>
        <v>77.36268603492196</v>
      </c>
      <c r="AB129" s="63">
        <f>($L129+SUM($W129:AA129))*(T$11*T129)</f>
        <v>78.89734035317635</v>
      </c>
      <c r="AC129" s="63">
        <f>($L129+SUM($W129:AB129))*(U$11*U129)</f>
        <v>0</v>
      </c>
      <c r="AD129" s="63">
        <f>($L129+SUM($W129:AC129))*(V$11*V129)</f>
        <v>0</v>
      </c>
      <c r="AE129" s="110">
        <f t="shared" si="132"/>
        <v>398.4877732917632</v>
      </c>
    </row>
    <row r="130" spans="1:31" ht="12.75">
      <c r="A130" s="3">
        <v>3</v>
      </c>
      <c r="B130" s="15">
        <f t="shared" si="100"/>
        <v>42430</v>
      </c>
      <c r="C130" s="243">
        <f t="shared" si="129"/>
        <v>42465</v>
      </c>
      <c r="D130" s="243">
        <f t="shared" si="129"/>
        <v>42480</v>
      </c>
      <c r="E130" s="70" t="s">
        <v>139</v>
      </c>
      <c r="F130" s="3">
        <v>9</v>
      </c>
      <c r="G130" s="362">
        <v>84</v>
      </c>
      <c r="H130" s="246">
        <f t="shared" si="130"/>
        <v>1566.72</v>
      </c>
      <c r="I130" s="246">
        <f t="shared" si="131"/>
        <v>1652.23</v>
      </c>
      <c r="J130" s="56">
        <f t="shared" si="101"/>
        <v>138787.32</v>
      </c>
      <c r="K130" s="57">
        <f t="shared" si="83"/>
        <v>131604.48</v>
      </c>
      <c r="L130" s="58">
        <f>+J130-K130</f>
        <v>7182.8399999999965</v>
      </c>
      <c r="M130" s="55">
        <f t="shared" si="89"/>
        <v>305.43217317176845</v>
      </c>
      <c r="N130" s="29">
        <f>SUM(L130:M130)</f>
        <v>7488.272173171765</v>
      </c>
      <c r="O130" s="16">
        <f t="shared" si="107"/>
        <v>0</v>
      </c>
      <c r="P130" s="16">
        <f t="shared" si="108"/>
        <v>72</v>
      </c>
      <c r="Q130" s="16">
        <f t="shared" si="109"/>
        <v>92</v>
      </c>
      <c r="R130" s="16">
        <f t="shared" si="118"/>
        <v>92</v>
      </c>
      <c r="S130" s="16">
        <f t="shared" si="119"/>
        <v>90</v>
      </c>
      <c r="T130" s="16">
        <f t="shared" si="119"/>
        <v>91</v>
      </c>
      <c r="U130" s="16">
        <f t="shared" si="119"/>
        <v>0</v>
      </c>
      <c r="V130" s="106">
        <f t="shared" si="133"/>
        <v>0</v>
      </c>
      <c r="W130" s="141">
        <f t="shared" si="134"/>
        <v>0</v>
      </c>
      <c r="X130" s="63">
        <f>($L130+SUM($W130:W130))*(P$11*P130)</f>
        <v>48.97712929315066</v>
      </c>
      <c r="Y130" s="63">
        <f>($L130+SUM($W130:X130))*(Q$11*Q130)</f>
        <v>63.79849631869572</v>
      </c>
      <c r="Z130" s="63">
        <f>($L130+SUM($W130:Y130))*(R$11*R130)</f>
        <v>64.36132140950723</v>
      </c>
      <c r="AA130" s="63">
        <f>($L130+SUM($W130:Z130))*(S$11*S130)</f>
        <v>63.5176092688144</v>
      </c>
      <c r="AB130" s="63">
        <f>($L130+SUM($W130:AA130))*(T$11*T130)</f>
        <v>64.77761688160048</v>
      </c>
      <c r="AC130" s="63">
        <f>($L130+SUM($W130:AB130))*(U$11*U130)</f>
        <v>0</v>
      </c>
      <c r="AD130" s="63">
        <f>($L130+SUM($W130:AC130))*(V$11*V130)</f>
        <v>0</v>
      </c>
      <c r="AE130" s="110">
        <f t="shared" si="132"/>
        <v>305.43217317176845</v>
      </c>
    </row>
    <row r="131" spans="1:31" ht="12.75">
      <c r="A131" s="16">
        <v>4</v>
      </c>
      <c r="B131" s="15">
        <f t="shared" si="100"/>
        <v>42461</v>
      </c>
      <c r="C131" s="243">
        <f t="shared" si="129"/>
        <v>42494</v>
      </c>
      <c r="D131" s="243">
        <f t="shared" si="129"/>
        <v>42509</v>
      </c>
      <c r="E131" s="30" t="s">
        <v>139</v>
      </c>
      <c r="F131" s="3">
        <v>9</v>
      </c>
      <c r="G131" s="362">
        <v>72</v>
      </c>
      <c r="H131" s="246">
        <f t="shared" si="130"/>
        <v>1566.72</v>
      </c>
      <c r="I131" s="246">
        <f t="shared" si="131"/>
        <v>1652.23</v>
      </c>
      <c r="J131" s="56">
        <f t="shared" si="101"/>
        <v>118960.56</v>
      </c>
      <c r="K131" s="57">
        <f t="shared" si="83"/>
        <v>112803.84</v>
      </c>
      <c r="L131" s="58">
        <f aca="true" t="shared" si="135" ref="L131:L141">+J131-K131</f>
        <v>6156.720000000001</v>
      </c>
      <c r="M131" s="55">
        <f t="shared" si="89"/>
        <v>244.29061511105095</v>
      </c>
      <c r="N131" s="29">
        <f aca="true" t="shared" si="136" ref="N131:N141">SUM(L131:M131)</f>
        <v>6401.010615111052</v>
      </c>
      <c r="O131" s="16">
        <f t="shared" si="107"/>
        <v>0</v>
      </c>
      <c r="P131" s="16">
        <f t="shared" si="108"/>
        <v>43</v>
      </c>
      <c r="Q131" s="16">
        <f t="shared" si="109"/>
        <v>92</v>
      </c>
      <c r="R131" s="16">
        <f t="shared" si="118"/>
        <v>92</v>
      </c>
      <c r="S131" s="16">
        <f t="shared" si="119"/>
        <v>90</v>
      </c>
      <c r="T131" s="16">
        <f t="shared" si="119"/>
        <v>91</v>
      </c>
      <c r="U131" s="16">
        <f t="shared" si="119"/>
        <v>0</v>
      </c>
      <c r="V131" s="106">
        <f t="shared" si="133"/>
        <v>0</v>
      </c>
      <c r="W131" s="141">
        <f t="shared" si="134"/>
        <v>0</v>
      </c>
      <c r="X131" s="63">
        <f>($L131+SUM($W131:W131))*(P$11*P131)</f>
        <v>25.071625709589046</v>
      </c>
      <c r="Y131" s="63">
        <f>($L131+SUM($W131:X131))*(Q$11*Q131)</f>
        <v>54.53525762954763</v>
      </c>
      <c r="Z131" s="63">
        <f>($L131+SUM($W131:Y131))*(R$11*R131)</f>
        <v>55.01636319000555</v>
      </c>
      <c r="AA131" s="63">
        <f>($L131+SUM($W131:Z131))*(S$11*S131)</f>
        <v>54.2951540453885</v>
      </c>
      <c r="AB131" s="63">
        <f>($L131+SUM($W131:AA131))*(T$11*T131)</f>
        <v>55.37221453652023</v>
      </c>
      <c r="AC131" s="63">
        <f>($L131+SUM($W131:AB131))*(U$11*U131)</f>
        <v>0</v>
      </c>
      <c r="AD131" s="63">
        <f>($L131+SUM($W131:AC131))*(V$11*V131)</f>
        <v>0</v>
      </c>
      <c r="AE131" s="110">
        <f t="shared" si="132"/>
        <v>244.29061511105095</v>
      </c>
    </row>
    <row r="132" spans="1:31" ht="12.75">
      <c r="A132" s="3">
        <v>5</v>
      </c>
      <c r="B132" s="15">
        <f t="shared" si="100"/>
        <v>42491</v>
      </c>
      <c r="C132" s="243">
        <f t="shared" si="129"/>
        <v>42524</v>
      </c>
      <c r="D132" s="243">
        <f t="shared" si="129"/>
        <v>42541</v>
      </c>
      <c r="E132" s="30" t="s">
        <v>139</v>
      </c>
      <c r="F132" s="3">
        <v>9</v>
      </c>
      <c r="G132" s="362">
        <v>84</v>
      </c>
      <c r="H132" s="246">
        <f t="shared" si="130"/>
        <v>1566.72</v>
      </c>
      <c r="I132" s="246">
        <f t="shared" si="131"/>
        <v>1652.23</v>
      </c>
      <c r="J132" s="56">
        <f t="shared" si="101"/>
        <v>138787.32</v>
      </c>
      <c r="K132" s="57">
        <f t="shared" si="83"/>
        <v>131604.48</v>
      </c>
      <c r="L132" s="58">
        <f t="shared" si="135"/>
        <v>7182.8399999999965</v>
      </c>
      <c r="M132" s="55">
        <f t="shared" si="89"/>
        <v>262.4661804795353</v>
      </c>
      <c r="N132" s="29">
        <f t="shared" si="136"/>
        <v>7445.306180479532</v>
      </c>
      <c r="O132" s="16">
        <f aca="true" t="shared" si="137" ref="O132:U132">IF($D132&lt;O$8,O$12,IF($D132&lt;P$8,P$8-$D132,0))</f>
        <v>0</v>
      </c>
      <c r="P132" s="16">
        <f t="shared" si="137"/>
        <v>11</v>
      </c>
      <c r="Q132" s="16">
        <f t="shared" si="137"/>
        <v>92</v>
      </c>
      <c r="R132" s="16">
        <f t="shared" si="137"/>
        <v>92</v>
      </c>
      <c r="S132" s="16">
        <f t="shared" si="137"/>
        <v>90</v>
      </c>
      <c r="T132" s="16">
        <f t="shared" si="137"/>
        <v>91</v>
      </c>
      <c r="U132" s="16">
        <f t="shared" si="137"/>
        <v>0</v>
      </c>
      <c r="V132" s="106">
        <f>IF(W$8&lt;V$8,0,IF($D132&lt;V$8,V$12,IF($D132&lt;W$8,W$8-$D132,0)))</f>
        <v>0</v>
      </c>
      <c r="W132" s="141">
        <f>$L132*O$11*O132</f>
        <v>0</v>
      </c>
      <c r="X132" s="63">
        <f>($L132+SUM($W132:W132))*(P$11*P132)</f>
        <v>7.482616975342462</v>
      </c>
      <c r="Y132" s="63">
        <f>($L132+SUM($W132:X132))*(Q$11*Q132)</f>
        <v>63.432435141535876</v>
      </c>
      <c r="Z132" s="63">
        <f>($L132+SUM($W132:Y132))*(R$11*R132)</f>
        <v>63.9920308707297</v>
      </c>
      <c r="AA132" s="63">
        <f>($L132+SUM($W132:Z132))*(S$11*S132)</f>
        <v>63.15315975729029</v>
      </c>
      <c r="AB132" s="63">
        <f>($L132+SUM($W132:AA132))*(T$11*T132)</f>
        <v>64.40593773463696</v>
      </c>
      <c r="AC132" s="63">
        <f>($L132+SUM($W132:AB132))*(U$11*U132)</f>
        <v>0</v>
      </c>
      <c r="AD132" s="63">
        <f>($L132+SUM($W132:AC132))*(V$11*V132)</f>
        <v>0</v>
      </c>
      <c r="AE132" s="110">
        <f t="shared" si="132"/>
        <v>262.4661804795353</v>
      </c>
    </row>
    <row r="133" spans="1:31" ht="12.75">
      <c r="A133" s="3">
        <v>6</v>
      </c>
      <c r="B133" s="15">
        <f t="shared" si="100"/>
        <v>42522</v>
      </c>
      <c r="C133" s="243">
        <f t="shared" si="129"/>
        <v>42557</v>
      </c>
      <c r="D133" s="243">
        <f t="shared" si="129"/>
        <v>42572</v>
      </c>
      <c r="E133" s="30" t="s">
        <v>139</v>
      </c>
      <c r="F133" s="3">
        <v>9</v>
      </c>
      <c r="G133" s="362">
        <v>99</v>
      </c>
      <c r="H133" s="246">
        <f t="shared" si="130"/>
        <v>1566.72</v>
      </c>
      <c r="I133" s="246">
        <f t="shared" si="131"/>
        <v>1652.23</v>
      </c>
      <c r="J133" s="56">
        <f t="shared" si="101"/>
        <v>163570.77</v>
      </c>
      <c r="K133" s="57">
        <f t="shared" si="83"/>
        <v>155105.28</v>
      </c>
      <c r="L133" s="77">
        <f t="shared" si="135"/>
        <v>8465.48999999999</v>
      </c>
      <c r="M133" s="78">
        <f t="shared" si="89"/>
        <v>283.53969845198185</v>
      </c>
      <c r="N133" s="76">
        <f t="shared" si="136"/>
        <v>8749.029698451972</v>
      </c>
      <c r="O133" s="16">
        <f t="shared" si="107"/>
        <v>0</v>
      </c>
      <c r="P133" s="16">
        <f t="shared" si="108"/>
        <v>0</v>
      </c>
      <c r="Q133" s="16">
        <f t="shared" si="109"/>
        <v>72</v>
      </c>
      <c r="R133" s="16">
        <f t="shared" si="118"/>
        <v>92</v>
      </c>
      <c r="S133" s="16">
        <f t="shared" si="119"/>
        <v>90</v>
      </c>
      <c r="T133" s="16">
        <f t="shared" si="119"/>
        <v>91</v>
      </c>
      <c r="U133" s="16">
        <f t="shared" si="119"/>
        <v>0</v>
      </c>
      <c r="V133" s="106">
        <f t="shared" si="133"/>
        <v>0</v>
      </c>
      <c r="W133" s="141">
        <f t="shared" si="134"/>
        <v>0</v>
      </c>
      <c r="X133" s="63">
        <f>($L133+SUM($W133:W133))*(P$11*P133)</f>
        <v>0</v>
      </c>
      <c r="Y133" s="63">
        <f>($L133+SUM($W133:X133))*(Q$11*Q133)</f>
        <v>58.44667068493145</v>
      </c>
      <c r="Z133" s="63">
        <f>($L133+SUM($W133:Y133))*(R$11*R133)</f>
        <v>75.19746871124781</v>
      </c>
      <c r="AA133" s="63">
        <f>($L133+SUM($W133:Z133))*(S$11*S133)</f>
        <v>74.21170558656969</v>
      </c>
      <c r="AB133" s="63">
        <f>($L133+SUM($W133:AA133))*(T$11*T133)</f>
        <v>75.68385346923294</v>
      </c>
      <c r="AC133" s="63">
        <f>($L133+SUM($W133:AB133))*(U$11*U133)</f>
        <v>0</v>
      </c>
      <c r="AD133" s="63">
        <f>($L133+SUM($W133:AC133))*(V$11*V133)</f>
        <v>0</v>
      </c>
      <c r="AE133" s="110">
        <f t="shared" si="132"/>
        <v>283.53969845198185</v>
      </c>
    </row>
    <row r="134" spans="1:31" ht="12.75">
      <c r="A134" s="16">
        <v>7</v>
      </c>
      <c r="B134" s="15">
        <f t="shared" si="100"/>
        <v>42552</v>
      </c>
      <c r="C134" s="243">
        <f t="shared" si="129"/>
        <v>42585</v>
      </c>
      <c r="D134" s="243">
        <f t="shared" si="129"/>
        <v>42600</v>
      </c>
      <c r="E134" s="30" t="s">
        <v>139</v>
      </c>
      <c r="F134" s="3">
        <v>9</v>
      </c>
      <c r="G134" s="362">
        <v>114</v>
      </c>
      <c r="H134" s="246">
        <f aca="true" t="shared" si="138" ref="H134:H139">$K$8</f>
        <v>1623.7</v>
      </c>
      <c r="I134" s="246">
        <f t="shared" si="131"/>
        <v>1652.23</v>
      </c>
      <c r="J134" s="56">
        <f t="shared" si="101"/>
        <v>188354.22</v>
      </c>
      <c r="K134" s="74">
        <f t="shared" si="83"/>
        <v>185101.80000000002</v>
      </c>
      <c r="L134" s="77">
        <f t="shared" si="135"/>
        <v>3252.4199999999837</v>
      </c>
      <c r="M134" s="75">
        <f t="shared" si="89"/>
        <v>99.97211395387394</v>
      </c>
      <c r="N134" s="76">
        <f t="shared" si="136"/>
        <v>3352.3921139538575</v>
      </c>
      <c r="O134" s="16">
        <f t="shared" si="107"/>
        <v>0</v>
      </c>
      <c r="P134" s="16">
        <f t="shared" si="108"/>
        <v>0</v>
      </c>
      <c r="Q134" s="16">
        <f t="shared" si="109"/>
        <v>44</v>
      </c>
      <c r="R134" s="16">
        <f t="shared" si="118"/>
        <v>92</v>
      </c>
      <c r="S134" s="16">
        <f t="shared" si="119"/>
        <v>90</v>
      </c>
      <c r="T134" s="16">
        <f t="shared" si="119"/>
        <v>91</v>
      </c>
      <c r="U134" s="16">
        <f t="shared" si="119"/>
        <v>0</v>
      </c>
      <c r="V134" s="106">
        <f t="shared" si="133"/>
        <v>0</v>
      </c>
      <c r="W134" s="141">
        <f t="shared" si="134"/>
        <v>0</v>
      </c>
      <c r="X134" s="63">
        <f>($L134+SUM($W134:W134))*(P$11*P134)</f>
        <v>0</v>
      </c>
      <c r="Y134" s="63">
        <f>($L134+SUM($W134:X134))*(Q$11*Q134)</f>
        <v>13.722539178082126</v>
      </c>
      <c r="Z134" s="63">
        <f>($L134+SUM($W134:Y134))*(R$11*R134)</f>
        <v>28.81364103055719</v>
      </c>
      <c r="AA134" s="63">
        <f>($L134+SUM($W134:Z134))*(S$11*S134)</f>
        <v>28.435923199060724</v>
      </c>
      <c r="AB134" s="63">
        <f>($L134+SUM($W134:AA134))*(T$11*T134)</f>
        <v>29.0000105461739</v>
      </c>
      <c r="AC134" s="63">
        <f>($L134+SUM($W134:AB134))*(U$11*U134)</f>
        <v>0</v>
      </c>
      <c r="AD134" s="63">
        <f>($L134+SUM($W134:AC134))*(V$11*V134)</f>
        <v>0</v>
      </c>
      <c r="AE134" s="110">
        <f aca="true" t="shared" si="139" ref="AE134:AE139">SUM(W134:AD134)</f>
        <v>99.97211395387394</v>
      </c>
    </row>
    <row r="135" spans="1:31" ht="12.75">
      <c r="A135" s="3">
        <v>8</v>
      </c>
      <c r="B135" s="15">
        <f t="shared" si="100"/>
        <v>42583</v>
      </c>
      <c r="C135" s="243">
        <f t="shared" si="129"/>
        <v>42619</v>
      </c>
      <c r="D135" s="243">
        <f t="shared" si="129"/>
        <v>42634</v>
      </c>
      <c r="E135" s="30" t="s">
        <v>139</v>
      </c>
      <c r="F135" s="3">
        <v>9</v>
      </c>
      <c r="G135" s="362">
        <v>113</v>
      </c>
      <c r="H135" s="246">
        <f t="shared" si="138"/>
        <v>1623.7</v>
      </c>
      <c r="I135" s="246">
        <f t="shared" si="131"/>
        <v>1652.23</v>
      </c>
      <c r="J135" s="56">
        <f t="shared" si="101"/>
        <v>186701.99</v>
      </c>
      <c r="K135" s="74">
        <f t="shared" si="83"/>
        <v>183478.1</v>
      </c>
      <c r="L135" s="77">
        <f t="shared" si="135"/>
        <v>3223.889999999985</v>
      </c>
      <c r="M135" s="75">
        <f t="shared" si="89"/>
        <v>88.30684140010112</v>
      </c>
      <c r="N135" s="76">
        <f t="shared" si="136"/>
        <v>3312.1968414000858</v>
      </c>
      <c r="O135" s="16">
        <f t="shared" si="107"/>
        <v>0</v>
      </c>
      <c r="P135" s="16">
        <f t="shared" si="108"/>
        <v>0</v>
      </c>
      <c r="Q135" s="16">
        <f t="shared" si="109"/>
        <v>10</v>
      </c>
      <c r="R135" s="16">
        <f t="shared" si="118"/>
        <v>92</v>
      </c>
      <c r="S135" s="16">
        <f t="shared" si="119"/>
        <v>90</v>
      </c>
      <c r="T135" s="16">
        <f t="shared" si="119"/>
        <v>91</v>
      </c>
      <c r="U135" s="16">
        <f t="shared" si="119"/>
        <v>0</v>
      </c>
      <c r="V135" s="106">
        <f t="shared" si="133"/>
        <v>0</v>
      </c>
      <c r="W135" s="141">
        <f t="shared" si="134"/>
        <v>0</v>
      </c>
      <c r="X135" s="63">
        <f>($L135+SUM($W135:W135))*(P$11*P135)</f>
        <v>0</v>
      </c>
      <c r="Y135" s="63">
        <f>($L135+SUM($W135:X135))*(Q$11*Q135)</f>
        <v>3.0914013698629996</v>
      </c>
      <c r="Z135" s="63">
        <f>($L135+SUM($W135:Y135))*(R$11*R135)</f>
        <v>28.468164691536742</v>
      </c>
      <c r="AA135" s="63">
        <f>($L135+SUM($W135:Z135))*(S$11*S135)</f>
        <v>28.094975707105103</v>
      </c>
      <c r="AB135" s="63">
        <f>($L135+SUM($W135:AA135))*(T$11*T135)</f>
        <v>28.65229963159627</v>
      </c>
      <c r="AC135" s="63">
        <f>($L135+SUM($W135:AB135))*(U$11*U135)</f>
        <v>0</v>
      </c>
      <c r="AD135" s="63">
        <f>($L135+SUM($W135:AC135))*(V$11*V135)</f>
        <v>0</v>
      </c>
      <c r="AE135" s="110">
        <f t="shared" si="139"/>
        <v>88.30684140010112</v>
      </c>
    </row>
    <row r="136" spans="1:31" ht="12.75">
      <c r="A136" s="3">
        <v>9</v>
      </c>
      <c r="B136" s="15">
        <f t="shared" si="100"/>
        <v>42614</v>
      </c>
      <c r="C136" s="243">
        <f t="shared" si="129"/>
        <v>42648</v>
      </c>
      <c r="D136" s="243">
        <f t="shared" si="129"/>
        <v>42663</v>
      </c>
      <c r="E136" s="30" t="s">
        <v>139</v>
      </c>
      <c r="F136" s="3">
        <v>9</v>
      </c>
      <c r="G136" s="362">
        <v>101</v>
      </c>
      <c r="H136" s="246">
        <f t="shared" si="138"/>
        <v>1623.7</v>
      </c>
      <c r="I136" s="246">
        <f t="shared" si="131"/>
        <v>1652.23</v>
      </c>
      <c r="J136" s="56">
        <f t="shared" si="101"/>
        <v>166875.23</v>
      </c>
      <c r="K136" s="74">
        <f t="shared" si="83"/>
        <v>163993.7</v>
      </c>
      <c r="L136" s="77">
        <f t="shared" si="135"/>
        <v>2881.529999999999</v>
      </c>
      <c r="M136" s="75">
        <f t="shared" si="89"/>
        <v>70.75162234388065</v>
      </c>
      <c r="N136" s="76">
        <f t="shared" si="136"/>
        <v>2952.2816223438795</v>
      </c>
      <c r="O136" s="16">
        <f t="shared" si="107"/>
        <v>0</v>
      </c>
      <c r="P136" s="16">
        <f t="shared" si="108"/>
        <v>0</v>
      </c>
      <c r="Q136" s="16">
        <f t="shared" si="109"/>
        <v>0</v>
      </c>
      <c r="R136" s="16">
        <f t="shared" si="118"/>
        <v>73</v>
      </c>
      <c r="S136" s="16">
        <f t="shared" si="119"/>
        <v>90</v>
      </c>
      <c r="T136" s="16">
        <f t="shared" si="119"/>
        <v>91</v>
      </c>
      <c r="U136" s="16">
        <f t="shared" si="119"/>
        <v>0</v>
      </c>
      <c r="V136" s="106">
        <f t="shared" si="133"/>
        <v>0</v>
      </c>
      <c r="W136" s="141">
        <f t="shared" si="134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20.170709999999996</v>
      </c>
      <c r="AA136" s="63">
        <f>($L136+SUM($W136:Z136))*(S$11*S136)</f>
        <v>25.042074620547936</v>
      </c>
      <c r="AB136" s="63">
        <f>($L136+SUM($W136:AA136))*(T$11*T136)</f>
        <v>25.53883772333272</v>
      </c>
      <c r="AC136" s="63">
        <f>($L136+SUM($W136:AB136))*(U$11*U136)</f>
        <v>0</v>
      </c>
      <c r="AD136" s="63">
        <f>($L136+SUM($W136:AC136))*(V$11*V136)</f>
        <v>0</v>
      </c>
      <c r="AE136" s="110">
        <f t="shared" si="139"/>
        <v>70.75162234388065</v>
      </c>
    </row>
    <row r="137" spans="1:31" ht="12.75">
      <c r="A137" s="16">
        <v>10</v>
      </c>
      <c r="B137" s="15">
        <f t="shared" si="100"/>
        <v>42644</v>
      </c>
      <c r="C137" s="243">
        <f t="shared" si="129"/>
        <v>42677</v>
      </c>
      <c r="D137" s="243">
        <f t="shared" si="129"/>
        <v>42692</v>
      </c>
      <c r="E137" s="30" t="s">
        <v>139</v>
      </c>
      <c r="F137" s="3">
        <v>9</v>
      </c>
      <c r="G137" s="362">
        <v>84</v>
      </c>
      <c r="H137" s="246">
        <f t="shared" si="138"/>
        <v>1623.7</v>
      </c>
      <c r="I137" s="246">
        <f t="shared" si="131"/>
        <v>1652.23</v>
      </c>
      <c r="J137" s="56">
        <f t="shared" si="101"/>
        <v>138787.32</v>
      </c>
      <c r="K137" s="74">
        <f t="shared" si="83"/>
        <v>136390.80000000002</v>
      </c>
      <c r="L137" s="77">
        <f t="shared" si="135"/>
        <v>2396.5199999999895</v>
      </c>
      <c r="M137" s="75">
        <f t="shared" si="89"/>
        <v>52.062469619749166</v>
      </c>
      <c r="N137" s="76">
        <f t="shared" si="136"/>
        <v>2448.5824696197387</v>
      </c>
      <c r="O137" s="16">
        <f t="shared" si="107"/>
        <v>0</v>
      </c>
      <c r="P137" s="16">
        <f t="shared" si="108"/>
        <v>0</v>
      </c>
      <c r="Q137" s="16">
        <f t="shared" si="109"/>
        <v>0</v>
      </c>
      <c r="R137" s="16">
        <f t="shared" si="118"/>
        <v>44</v>
      </c>
      <c r="S137" s="16">
        <f t="shared" si="119"/>
        <v>90</v>
      </c>
      <c r="T137" s="16">
        <f t="shared" si="119"/>
        <v>91</v>
      </c>
      <c r="U137" s="16">
        <f t="shared" si="119"/>
        <v>0</v>
      </c>
      <c r="V137" s="106">
        <f t="shared" si="133"/>
        <v>0</v>
      </c>
      <c r="W137" s="141">
        <f t="shared" si="134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10.111344657534204</v>
      </c>
      <c r="AA137" s="63">
        <f>($L137+SUM($W137:Z137))*(S$11*S137)</f>
        <v>20.769558179921095</v>
      </c>
      <c r="AB137" s="63">
        <f>($L137+SUM($W137:AA137))*(T$11*T137)</f>
        <v>21.181566782293867</v>
      </c>
      <c r="AC137" s="63">
        <f>($L137+SUM($W137:AB137))*(U$11*U137)</f>
        <v>0</v>
      </c>
      <c r="AD137" s="63">
        <f>($L137+SUM($W137:AC137))*(V$11*V137)</f>
        <v>0</v>
      </c>
      <c r="AE137" s="110">
        <f t="shared" si="139"/>
        <v>52.062469619749166</v>
      </c>
    </row>
    <row r="138" spans="1:31" ht="12.75">
      <c r="A138" s="3">
        <v>11</v>
      </c>
      <c r="B138" s="15">
        <f t="shared" si="100"/>
        <v>42675</v>
      </c>
      <c r="C138" s="243">
        <f t="shared" si="129"/>
        <v>42709</v>
      </c>
      <c r="D138" s="243">
        <f t="shared" si="129"/>
        <v>42724</v>
      </c>
      <c r="E138" s="30" t="s">
        <v>139</v>
      </c>
      <c r="F138" s="3">
        <v>9</v>
      </c>
      <c r="G138" s="362">
        <v>0</v>
      </c>
      <c r="H138" s="246">
        <f t="shared" si="138"/>
        <v>1623.7</v>
      </c>
      <c r="I138" s="246">
        <f t="shared" si="131"/>
        <v>1652.23</v>
      </c>
      <c r="J138" s="56">
        <f t="shared" si="101"/>
        <v>0</v>
      </c>
      <c r="K138" s="74">
        <f t="shared" si="83"/>
        <v>0</v>
      </c>
      <c r="L138" s="77">
        <f t="shared" si="135"/>
        <v>0</v>
      </c>
      <c r="M138" s="75">
        <f t="shared" si="89"/>
        <v>0</v>
      </c>
      <c r="N138" s="76">
        <f t="shared" si="136"/>
        <v>0</v>
      </c>
      <c r="O138" s="16">
        <f t="shared" si="107"/>
        <v>0</v>
      </c>
      <c r="P138" s="16">
        <f t="shared" si="108"/>
        <v>0</v>
      </c>
      <c r="Q138" s="16">
        <f t="shared" si="109"/>
        <v>0</v>
      </c>
      <c r="R138" s="16">
        <f t="shared" si="118"/>
        <v>12</v>
      </c>
      <c r="S138" s="16">
        <f t="shared" si="119"/>
        <v>90</v>
      </c>
      <c r="T138" s="16">
        <f t="shared" si="119"/>
        <v>91</v>
      </c>
      <c r="U138" s="16">
        <f t="shared" si="119"/>
        <v>0</v>
      </c>
      <c r="V138" s="106">
        <f t="shared" si="133"/>
        <v>0</v>
      </c>
      <c r="W138" s="141">
        <f t="shared" si="134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0</v>
      </c>
      <c r="AA138" s="63">
        <f>($L138+SUM($W138:Z138))*(S$11*S138)</f>
        <v>0</v>
      </c>
      <c r="AB138" s="63">
        <f>($L138+SUM($W138:AA138))*(T$11*T138)</f>
        <v>0</v>
      </c>
      <c r="AC138" s="63">
        <f>($L138+SUM($W138:AB138))*(U$11*U138)</f>
        <v>0</v>
      </c>
      <c r="AD138" s="63">
        <f>($L138+SUM($W138:AC138))*(V$11*V138)</f>
        <v>0</v>
      </c>
      <c r="AE138" s="110">
        <f t="shared" si="139"/>
        <v>0</v>
      </c>
    </row>
    <row r="139" spans="1:31" s="69" customFormat="1" ht="12.75">
      <c r="A139" s="3">
        <v>12</v>
      </c>
      <c r="B139" s="83">
        <f t="shared" si="100"/>
        <v>42705</v>
      </c>
      <c r="C139" s="243">
        <f t="shared" si="129"/>
        <v>42740</v>
      </c>
      <c r="D139" s="243">
        <f t="shared" si="129"/>
        <v>42755</v>
      </c>
      <c r="E139" s="84" t="s">
        <v>139</v>
      </c>
      <c r="F139" s="81">
        <v>9</v>
      </c>
      <c r="G139" s="363">
        <v>0</v>
      </c>
      <c r="H139" s="247">
        <f t="shared" si="138"/>
        <v>1623.7</v>
      </c>
      <c r="I139" s="247">
        <f t="shared" si="131"/>
        <v>1652.23</v>
      </c>
      <c r="J139" s="85">
        <f t="shared" si="101"/>
        <v>0</v>
      </c>
      <c r="K139" s="86">
        <f t="shared" si="83"/>
        <v>0</v>
      </c>
      <c r="L139" s="87">
        <f t="shared" si="135"/>
        <v>0</v>
      </c>
      <c r="M139" s="88">
        <f t="shared" si="89"/>
        <v>0</v>
      </c>
      <c r="N139" s="89">
        <f t="shared" si="136"/>
        <v>0</v>
      </c>
      <c r="O139" s="81">
        <f t="shared" si="107"/>
        <v>0</v>
      </c>
      <c r="P139" s="81">
        <f t="shared" si="108"/>
        <v>0</v>
      </c>
      <c r="Q139" s="81">
        <f t="shared" si="109"/>
        <v>0</v>
      </c>
      <c r="R139" s="81">
        <f t="shared" si="118"/>
        <v>0</v>
      </c>
      <c r="S139" s="81">
        <f t="shared" si="119"/>
        <v>71</v>
      </c>
      <c r="T139" s="81">
        <f t="shared" si="119"/>
        <v>91</v>
      </c>
      <c r="U139" s="81">
        <f t="shared" si="119"/>
        <v>0</v>
      </c>
      <c r="V139" s="107">
        <f t="shared" si="133"/>
        <v>0</v>
      </c>
      <c r="W139" s="142">
        <f t="shared" si="134"/>
        <v>0</v>
      </c>
      <c r="X139" s="90">
        <f>($L139+SUM($W139:W139))*(P$11*P139)</f>
        <v>0</v>
      </c>
      <c r="Y139" s="90">
        <f>($L139+SUM($W139:X139))*(Q$11*Q139)</f>
        <v>0</v>
      </c>
      <c r="Z139" s="90">
        <f>($L139+SUM($W139:Y139))*(R$11*R139)</f>
        <v>0</v>
      </c>
      <c r="AA139" s="90">
        <f>($L139+SUM($W139:Z139))*(S$11*S139)</f>
        <v>0</v>
      </c>
      <c r="AB139" s="90">
        <f>($L139+SUM($W139:AA139))*(T$11*T139)</f>
        <v>0</v>
      </c>
      <c r="AC139" s="90">
        <f>($L139+SUM($W139:AB139))*(U$11*U139)</f>
        <v>0</v>
      </c>
      <c r="AD139" s="90">
        <f>($L139+SUM($W139:AC139))*(V$11*V139)</f>
        <v>0</v>
      </c>
      <c r="AE139" s="111">
        <f t="shared" si="139"/>
        <v>0</v>
      </c>
    </row>
    <row r="140" spans="1:31" ht="12.75">
      <c r="A140" s="16">
        <v>1</v>
      </c>
      <c r="B140" s="15">
        <f t="shared" si="100"/>
        <v>42370</v>
      </c>
      <c r="C140" s="242">
        <f t="shared" si="129"/>
        <v>42403</v>
      </c>
      <c r="D140" s="242">
        <f t="shared" si="129"/>
        <v>42418</v>
      </c>
      <c r="E140" s="118" t="s">
        <v>140</v>
      </c>
      <c r="F140" s="16">
        <v>9</v>
      </c>
      <c r="G140" s="362">
        <v>6</v>
      </c>
      <c r="H140" s="246">
        <f aca="true" t="shared" si="140" ref="H140:H145">$K$3</f>
        <v>1566.72</v>
      </c>
      <c r="I140" s="246">
        <f t="shared" si="131"/>
        <v>1652.23</v>
      </c>
      <c r="J140" s="56">
        <f t="shared" si="101"/>
        <v>9913.380000000001</v>
      </c>
      <c r="K140" s="57">
        <f t="shared" si="83"/>
        <v>9400.32</v>
      </c>
      <c r="L140" s="58">
        <f t="shared" si="135"/>
        <v>513.0600000000013</v>
      </c>
      <c r="M140" s="55">
        <f t="shared" si="89"/>
        <v>24.824079534161584</v>
      </c>
      <c r="N140" s="29">
        <f t="shared" si="136"/>
        <v>537.8840795341629</v>
      </c>
      <c r="O140" s="16">
        <f aca="true" t="shared" si="141" ref="O140:Q151">IF($D140&lt;O$8,O$12,IF($D140&lt;P$8,P$8-$D140,0))</f>
        <v>43</v>
      </c>
      <c r="P140" s="16">
        <f t="shared" si="141"/>
        <v>91</v>
      </c>
      <c r="Q140" s="16">
        <f t="shared" si="141"/>
        <v>92</v>
      </c>
      <c r="R140" s="16">
        <f t="shared" si="118"/>
        <v>92</v>
      </c>
      <c r="S140" s="16">
        <f t="shared" si="119"/>
        <v>90</v>
      </c>
      <c r="T140" s="16">
        <f t="shared" si="119"/>
        <v>91</v>
      </c>
      <c r="U140" s="16">
        <f t="shared" si="119"/>
        <v>0</v>
      </c>
      <c r="V140" s="106">
        <f>IF(W$8&lt;V$8,0,IF($D140&lt;V$8,V$12,IF($D140&lt;W$8,W$8-$D140,0)))</f>
        <v>0</v>
      </c>
      <c r="W140" s="141">
        <f>$L140*O$11*O140</f>
        <v>1.9643872602739776</v>
      </c>
      <c r="X140" s="63">
        <f>($L140+SUM($W140:W140))*(P$11*P140)</f>
        <v>4.438475465989991</v>
      </c>
      <c r="Y140" s="63">
        <f>($L140+SUM($W140:X140))*(Q$11*Q140)</f>
        <v>4.582658679393354</v>
      </c>
      <c r="Z140" s="63">
        <f>($L140+SUM($W140:Y140))*(R$11*R140)</f>
        <v>4.623086517606085</v>
      </c>
      <c r="AA140" s="63">
        <f>($L140+SUM($W140:Z140))*(S$11*S140)</f>
        <v>4.562482506735025</v>
      </c>
      <c r="AB140" s="63">
        <f>($L140+SUM($W140:AA140))*(T$11*T140)</f>
        <v>4.652989104163149</v>
      </c>
      <c r="AC140" s="63">
        <f>($L140+SUM($W140:AB140))*(U$11*U140)</f>
        <v>0</v>
      </c>
      <c r="AD140" s="63">
        <f>($L140+SUM($W140:AC140))*(V$11*V140)</f>
        <v>0</v>
      </c>
      <c r="AE140" s="110">
        <f aca="true" t="shared" si="142" ref="AE140:AE145">SUM(W140:AD140)</f>
        <v>24.824079534161584</v>
      </c>
    </row>
    <row r="141" spans="1:31" ht="12.75">
      <c r="A141" s="3">
        <v>2</v>
      </c>
      <c r="B141" s="15">
        <f t="shared" si="100"/>
        <v>42401</v>
      </c>
      <c r="C141" s="243">
        <f t="shared" si="129"/>
        <v>42432</v>
      </c>
      <c r="D141" s="243">
        <f t="shared" si="129"/>
        <v>42447</v>
      </c>
      <c r="E141" s="70" t="s">
        <v>140</v>
      </c>
      <c r="F141" s="3">
        <v>9</v>
      </c>
      <c r="G141" s="362">
        <v>6</v>
      </c>
      <c r="H141" s="246">
        <f t="shared" si="140"/>
        <v>1566.72</v>
      </c>
      <c r="I141" s="246">
        <f t="shared" si="131"/>
        <v>1652.23</v>
      </c>
      <c r="J141" s="56">
        <f t="shared" si="101"/>
        <v>9913.380000000001</v>
      </c>
      <c r="K141" s="57">
        <f t="shared" si="83"/>
        <v>9400.32</v>
      </c>
      <c r="L141" s="58">
        <f t="shared" si="135"/>
        <v>513.0600000000013</v>
      </c>
      <c r="M141" s="55">
        <f t="shared" si="89"/>
        <v>23.440457252456746</v>
      </c>
      <c r="N141" s="29">
        <f t="shared" si="136"/>
        <v>536.5004572524581</v>
      </c>
      <c r="O141" s="16">
        <f t="shared" si="141"/>
        <v>14</v>
      </c>
      <c r="P141" s="16">
        <f t="shared" si="141"/>
        <v>91</v>
      </c>
      <c r="Q141" s="16">
        <f t="shared" si="141"/>
        <v>92</v>
      </c>
      <c r="R141" s="16">
        <f t="shared" si="118"/>
        <v>92</v>
      </c>
      <c r="S141" s="16">
        <f t="shared" si="119"/>
        <v>90</v>
      </c>
      <c r="T141" s="16">
        <f t="shared" si="119"/>
        <v>91</v>
      </c>
      <c r="U141" s="16">
        <f t="shared" si="119"/>
        <v>0</v>
      </c>
      <c r="V141" s="106">
        <f aca="true" t="shared" si="143" ref="V141:V163">IF(W$8&lt;V$8,0,IF($D141&lt;V$8,V$12,IF($D141&lt;W$8,W$8-$D141,0)))</f>
        <v>0</v>
      </c>
      <c r="W141" s="141">
        <f aca="true" t="shared" si="144" ref="W141:W163">$L141*O$11*O141</f>
        <v>0.639567945205481</v>
      </c>
      <c r="X141" s="63">
        <f>($L141+SUM($W141:W141))*(P$11*P141)</f>
        <v>4.427058185231537</v>
      </c>
      <c r="Y141" s="63">
        <f>($L141+SUM($W141:X141))*(Q$11*Q141)</f>
        <v>4.570870509972635</v>
      </c>
      <c r="Z141" s="63">
        <f>($L141+SUM($W141:Y141))*(R$11*R141)</f>
        <v>4.611194353923626</v>
      </c>
      <c r="AA141" s="63">
        <f>($L141+SUM($W141:Z141))*(S$11*S141)</f>
        <v>4.550746237348368</v>
      </c>
      <c r="AB141" s="63">
        <f>($L141+SUM($W141:AA141))*(T$11*T141)</f>
        <v>4.6410200207750965</v>
      </c>
      <c r="AC141" s="63">
        <f>($L141+SUM($W141:AB141))*(U$11*U141)</f>
        <v>0</v>
      </c>
      <c r="AD141" s="63">
        <f>($L141+SUM($W141:AC141))*(V$11*V141)</f>
        <v>0</v>
      </c>
      <c r="AE141" s="110">
        <f t="shared" si="142"/>
        <v>23.440457252456746</v>
      </c>
    </row>
    <row r="142" spans="1:31" ht="12.75">
      <c r="A142" s="3">
        <v>3</v>
      </c>
      <c r="B142" s="15">
        <f t="shared" si="100"/>
        <v>42430</v>
      </c>
      <c r="C142" s="243">
        <f t="shared" si="129"/>
        <v>42465</v>
      </c>
      <c r="D142" s="243">
        <f t="shared" si="129"/>
        <v>42480</v>
      </c>
      <c r="E142" s="70" t="s">
        <v>140</v>
      </c>
      <c r="F142" s="3">
        <v>9</v>
      </c>
      <c r="G142" s="362">
        <v>5</v>
      </c>
      <c r="H142" s="246">
        <f t="shared" si="140"/>
        <v>1566.72</v>
      </c>
      <c r="I142" s="246">
        <f t="shared" si="131"/>
        <v>1652.23</v>
      </c>
      <c r="J142" s="56">
        <f t="shared" si="101"/>
        <v>8261.15</v>
      </c>
      <c r="K142" s="57">
        <f t="shared" si="83"/>
        <v>7833.6</v>
      </c>
      <c r="L142" s="58">
        <f>+J142-K142</f>
        <v>427.5499999999993</v>
      </c>
      <c r="M142" s="55">
        <f t="shared" si="89"/>
        <v>18.18048649831953</v>
      </c>
      <c r="N142" s="29">
        <f>SUM(L142:M142)</f>
        <v>445.7304864983188</v>
      </c>
      <c r="O142" s="16">
        <f t="shared" si="141"/>
        <v>0</v>
      </c>
      <c r="P142" s="16">
        <f t="shared" si="141"/>
        <v>72</v>
      </c>
      <c r="Q142" s="16">
        <f t="shared" si="141"/>
        <v>92</v>
      </c>
      <c r="R142" s="16">
        <f>IF($D142&lt;R$8,R$12,IF($D142&lt;S$8,S$8-$D142,0))</f>
        <v>92</v>
      </c>
      <c r="S142" s="16">
        <f>IF($D142&lt;S$8,S$12,IF($D142&lt;T$8,T$8-$D142,0))</f>
        <v>90</v>
      </c>
      <c r="T142" s="16">
        <f>IF($D142&lt;T$8,T$12,IF($D142&lt;U$8,U$8-$D142,0))</f>
        <v>91</v>
      </c>
      <c r="U142" s="16">
        <f>IF($D142&lt;U$8,U$12,IF($D142&lt;V$8,V$8-$D142,0))</f>
        <v>0</v>
      </c>
      <c r="V142" s="106">
        <f>IF(W$8&lt;V$8,0,IF($D142&lt;V$8,V$12,IF($D142&lt;W$8,W$8-$D142,0)))</f>
        <v>0</v>
      </c>
      <c r="W142" s="141">
        <f>$L142*O$11*O142</f>
        <v>0</v>
      </c>
      <c r="X142" s="63">
        <f>($L142+SUM($W142:W142))*(P$11*P142)</f>
        <v>2.9153053150684882</v>
      </c>
      <c r="Y142" s="63">
        <f>($L142+SUM($W142:X142))*(Q$11*Q142)</f>
        <v>3.7975295427795026</v>
      </c>
      <c r="Z142" s="63">
        <f>($L142+SUM($W142:Y142))*(R$11*R142)</f>
        <v>3.8310310362801876</v>
      </c>
      <c r="AA142" s="63">
        <f>($L142+SUM($W142:Z142))*(S$11*S142)</f>
        <v>3.780810075524662</v>
      </c>
      <c r="AB142" s="63">
        <f>($L142+SUM($W142:AA142))*(T$11*T142)</f>
        <v>3.8558105286666904</v>
      </c>
      <c r="AC142" s="63">
        <f>($L142+SUM($W142:AB142))*(U$11*U142)</f>
        <v>0</v>
      </c>
      <c r="AD142" s="63">
        <f>($L142+SUM($W142:AC142))*(V$11*V142)</f>
        <v>0</v>
      </c>
      <c r="AE142" s="110">
        <f t="shared" si="142"/>
        <v>18.18048649831953</v>
      </c>
    </row>
    <row r="143" spans="1:31" ht="12.75">
      <c r="A143" s="16">
        <v>4</v>
      </c>
      <c r="B143" s="15">
        <f t="shared" si="100"/>
        <v>42461</v>
      </c>
      <c r="C143" s="243">
        <f t="shared" si="129"/>
        <v>42494</v>
      </c>
      <c r="D143" s="243">
        <f t="shared" si="129"/>
        <v>42509</v>
      </c>
      <c r="E143" s="70" t="s">
        <v>140</v>
      </c>
      <c r="F143" s="3">
        <v>9</v>
      </c>
      <c r="G143" s="362">
        <v>4</v>
      </c>
      <c r="H143" s="246">
        <f t="shared" si="140"/>
        <v>1566.72</v>
      </c>
      <c r="I143" s="246">
        <f t="shared" si="131"/>
        <v>1652.23</v>
      </c>
      <c r="J143" s="56">
        <f t="shared" si="101"/>
        <v>6608.92</v>
      </c>
      <c r="K143" s="57">
        <f t="shared" si="83"/>
        <v>6266.88</v>
      </c>
      <c r="L143" s="58">
        <f aca="true" t="shared" si="145" ref="L143:L153">+J143-K143</f>
        <v>342.03999999999996</v>
      </c>
      <c r="M143" s="55">
        <f t="shared" si="89"/>
        <v>13.571700839502828</v>
      </c>
      <c r="N143" s="29">
        <f aca="true" t="shared" si="146" ref="N143:N153">SUM(L143:M143)</f>
        <v>355.6117008395028</v>
      </c>
      <c r="O143" s="16">
        <f t="shared" si="141"/>
        <v>0</v>
      </c>
      <c r="P143" s="16">
        <f t="shared" si="141"/>
        <v>43</v>
      </c>
      <c r="Q143" s="16">
        <f t="shared" si="141"/>
        <v>92</v>
      </c>
      <c r="R143" s="16">
        <f t="shared" si="118"/>
        <v>92</v>
      </c>
      <c r="S143" s="16">
        <f t="shared" si="119"/>
        <v>90</v>
      </c>
      <c r="T143" s="16">
        <f t="shared" si="119"/>
        <v>91</v>
      </c>
      <c r="U143" s="16">
        <f t="shared" si="119"/>
        <v>0</v>
      </c>
      <c r="V143" s="106">
        <f t="shared" si="143"/>
        <v>0</v>
      </c>
      <c r="W143" s="141">
        <f t="shared" si="144"/>
        <v>0</v>
      </c>
      <c r="X143" s="63">
        <f>($L143+SUM($W143:W143))*(P$11*P143)</f>
        <v>1.3928680949771688</v>
      </c>
      <c r="Y143" s="63">
        <f>($L143+SUM($W143:X143))*(Q$11*Q143)</f>
        <v>3.0297365349748673</v>
      </c>
      <c r="Z143" s="63">
        <f>($L143+SUM($W143:Y143))*(R$11*R143)</f>
        <v>3.0564646216669744</v>
      </c>
      <c r="AA143" s="63">
        <f>($L143+SUM($W143:Z143))*(S$11*S143)</f>
        <v>3.0163974469660273</v>
      </c>
      <c r="AB143" s="63">
        <f>($L143+SUM($W143:AA143))*(T$11*T143)</f>
        <v>3.07623414091779</v>
      </c>
      <c r="AC143" s="63">
        <f>($L143+SUM($W143:AB143))*(U$11*U143)</f>
        <v>0</v>
      </c>
      <c r="AD143" s="63">
        <f>($L143+SUM($W143:AC143))*(V$11*V143)</f>
        <v>0</v>
      </c>
      <c r="AE143" s="110">
        <f t="shared" si="142"/>
        <v>13.571700839502828</v>
      </c>
    </row>
    <row r="144" spans="1:31" ht="12.75">
      <c r="A144" s="3">
        <v>5</v>
      </c>
      <c r="B144" s="15">
        <f t="shared" si="100"/>
        <v>42491</v>
      </c>
      <c r="C144" s="243">
        <f aca="true" t="shared" si="147" ref="C144:D163">+C132</f>
        <v>42524</v>
      </c>
      <c r="D144" s="243">
        <f t="shared" si="147"/>
        <v>42541</v>
      </c>
      <c r="E144" s="30" t="s">
        <v>140</v>
      </c>
      <c r="F144" s="3">
        <v>9</v>
      </c>
      <c r="G144" s="362">
        <v>4</v>
      </c>
      <c r="H144" s="246">
        <f t="shared" si="140"/>
        <v>1566.72</v>
      </c>
      <c r="I144" s="246">
        <f t="shared" si="131"/>
        <v>1652.23</v>
      </c>
      <c r="J144" s="56">
        <f t="shared" si="101"/>
        <v>6608.92</v>
      </c>
      <c r="K144" s="57">
        <f t="shared" si="83"/>
        <v>6266.88</v>
      </c>
      <c r="L144" s="58">
        <f t="shared" si="145"/>
        <v>342.03999999999996</v>
      </c>
      <c r="M144" s="55">
        <f t="shared" si="89"/>
        <v>12.498389546644542</v>
      </c>
      <c r="N144" s="29">
        <f t="shared" si="146"/>
        <v>354.5383895466445</v>
      </c>
      <c r="O144" s="16">
        <f t="shared" si="141"/>
        <v>0</v>
      </c>
      <c r="P144" s="16">
        <f t="shared" si="141"/>
        <v>11</v>
      </c>
      <c r="Q144" s="16">
        <f t="shared" si="141"/>
        <v>92</v>
      </c>
      <c r="R144" s="16">
        <f t="shared" si="118"/>
        <v>92</v>
      </c>
      <c r="S144" s="16">
        <f t="shared" si="119"/>
        <v>90</v>
      </c>
      <c r="T144" s="16">
        <f t="shared" si="119"/>
        <v>91</v>
      </c>
      <c r="U144" s="16">
        <f t="shared" si="119"/>
        <v>0</v>
      </c>
      <c r="V144" s="106">
        <f t="shared" si="143"/>
        <v>0</v>
      </c>
      <c r="W144" s="141">
        <f t="shared" si="144"/>
        <v>0</v>
      </c>
      <c r="X144" s="63">
        <f>($L144+SUM($W144:W144))*(P$11*P144)</f>
        <v>0.3563150940639269</v>
      </c>
      <c r="Y144" s="63">
        <f>($L144+SUM($W144:X144))*(Q$11*Q144)</f>
        <v>3.0205921495969474</v>
      </c>
      <c r="Z144" s="63">
        <f>($L144+SUM($W144:Y144))*(R$11*R144)</f>
        <v>3.047239565272844</v>
      </c>
      <c r="AA144" s="63">
        <f>($L144+SUM($W144:Z144))*(S$11*S144)</f>
        <v>3.007293321775729</v>
      </c>
      <c r="AB144" s="63">
        <f>($L144+SUM($W144:AA144))*(T$11*T144)</f>
        <v>3.0669494159350945</v>
      </c>
      <c r="AC144" s="63">
        <f>($L144+SUM($W144:AB144))*(U$11*U144)</f>
        <v>0</v>
      </c>
      <c r="AD144" s="63">
        <f>($L144+SUM($W144:AC144))*(V$11*V144)</f>
        <v>0</v>
      </c>
      <c r="AE144" s="110">
        <f t="shared" si="142"/>
        <v>12.498389546644542</v>
      </c>
    </row>
    <row r="145" spans="1:31" ht="12.75">
      <c r="A145" s="3">
        <v>6</v>
      </c>
      <c r="B145" s="15">
        <f t="shared" si="100"/>
        <v>42522</v>
      </c>
      <c r="C145" s="243">
        <f t="shared" si="147"/>
        <v>42557</v>
      </c>
      <c r="D145" s="243">
        <f t="shared" si="147"/>
        <v>42572</v>
      </c>
      <c r="E145" s="30" t="s">
        <v>140</v>
      </c>
      <c r="F145" s="3">
        <v>9</v>
      </c>
      <c r="G145" s="362">
        <v>9</v>
      </c>
      <c r="H145" s="246">
        <f t="shared" si="140"/>
        <v>1566.72</v>
      </c>
      <c r="I145" s="246">
        <f t="shared" si="131"/>
        <v>1652.23</v>
      </c>
      <c r="J145" s="56">
        <f t="shared" si="101"/>
        <v>14870.07</v>
      </c>
      <c r="K145" s="57">
        <f t="shared" si="83"/>
        <v>14100.48</v>
      </c>
      <c r="L145" s="77">
        <f t="shared" si="145"/>
        <v>769.5900000000001</v>
      </c>
      <c r="M145" s="78">
        <f t="shared" si="89"/>
        <v>25.77633622290748</v>
      </c>
      <c r="N145" s="76">
        <f t="shared" si="146"/>
        <v>795.3663362229076</v>
      </c>
      <c r="O145" s="16">
        <f t="shared" si="141"/>
        <v>0</v>
      </c>
      <c r="P145" s="16">
        <f t="shared" si="141"/>
        <v>0</v>
      </c>
      <c r="Q145" s="16">
        <f t="shared" si="141"/>
        <v>72</v>
      </c>
      <c r="R145" s="16">
        <f t="shared" si="118"/>
        <v>92</v>
      </c>
      <c r="S145" s="16">
        <f t="shared" si="119"/>
        <v>90</v>
      </c>
      <c r="T145" s="16">
        <f t="shared" si="119"/>
        <v>91</v>
      </c>
      <c r="U145" s="16">
        <f t="shared" si="119"/>
        <v>0</v>
      </c>
      <c r="V145" s="106">
        <f t="shared" si="143"/>
        <v>0</v>
      </c>
      <c r="W145" s="141">
        <f t="shared" si="144"/>
        <v>0</v>
      </c>
      <c r="X145" s="63">
        <f>($L145+SUM($W145:W145))*(P$11*P145)</f>
        <v>0</v>
      </c>
      <c r="Y145" s="63">
        <f>($L145+SUM($W145:X145))*(Q$11*Q145)</f>
        <v>5.313333698630139</v>
      </c>
      <c r="Z145" s="63">
        <f>($L145+SUM($W145:Y145))*(R$11*R145)</f>
        <v>6.836133519204355</v>
      </c>
      <c r="AA145" s="63">
        <f>($L145+SUM($W145:Z145))*(S$11*S145)</f>
        <v>6.746518689688163</v>
      </c>
      <c r="AB145" s="63">
        <f>($L145+SUM($W145:AA145))*(T$11*T145)</f>
        <v>6.880350315384822</v>
      </c>
      <c r="AC145" s="63">
        <f>($L145+SUM($W145:AB145))*(U$11*U145)</f>
        <v>0</v>
      </c>
      <c r="AD145" s="63">
        <f>($L145+SUM($W145:AC145))*(V$11*V145)</f>
        <v>0</v>
      </c>
      <c r="AE145" s="110">
        <f t="shared" si="142"/>
        <v>25.77633622290748</v>
      </c>
    </row>
    <row r="146" spans="1:31" ht="12.75">
      <c r="A146" s="16">
        <v>7</v>
      </c>
      <c r="B146" s="15">
        <f t="shared" si="100"/>
        <v>42552</v>
      </c>
      <c r="C146" s="243">
        <f t="shared" si="147"/>
        <v>42585</v>
      </c>
      <c r="D146" s="243">
        <f t="shared" si="147"/>
        <v>42600</v>
      </c>
      <c r="E146" s="30" t="s">
        <v>140</v>
      </c>
      <c r="F146" s="3">
        <v>9</v>
      </c>
      <c r="G146" s="362">
        <v>14</v>
      </c>
      <c r="H146" s="246">
        <f aca="true" t="shared" si="148" ref="H146:H151">$K$8</f>
        <v>1623.7</v>
      </c>
      <c r="I146" s="246">
        <f t="shared" si="131"/>
        <v>1652.23</v>
      </c>
      <c r="J146" s="56">
        <f t="shared" si="101"/>
        <v>23131.22</v>
      </c>
      <c r="K146" s="74">
        <f aca="true" t="shared" si="149" ref="K146:K209">+$G146*H146</f>
        <v>22731.8</v>
      </c>
      <c r="L146" s="77">
        <f t="shared" si="145"/>
        <v>399.4200000000019</v>
      </c>
      <c r="M146" s="75">
        <f t="shared" si="89"/>
        <v>12.277277152230253</v>
      </c>
      <c r="N146" s="76">
        <f t="shared" si="146"/>
        <v>411.6972771522321</v>
      </c>
      <c r="O146" s="16">
        <f t="shared" si="141"/>
        <v>0</v>
      </c>
      <c r="P146" s="16">
        <f t="shared" si="141"/>
        <v>0</v>
      </c>
      <c r="Q146" s="16">
        <f t="shared" si="141"/>
        <v>44</v>
      </c>
      <c r="R146" s="16">
        <f t="shared" si="118"/>
        <v>92</v>
      </c>
      <c r="S146" s="16">
        <f t="shared" si="119"/>
        <v>90</v>
      </c>
      <c r="T146" s="16">
        <f t="shared" si="119"/>
        <v>91</v>
      </c>
      <c r="U146" s="16">
        <f t="shared" si="119"/>
        <v>0</v>
      </c>
      <c r="V146" s="106">
        <f t="shared" si="143"/>
        <v>0</v>
      </c>
      <c r="W146" s="141">
        <f t="shared" si="144"/>
        <v>0</v>
      </c>
      <c r="X146" s="63">
        <f>($L146+SUM($W146:W146))*(P$11*P146)</f>
        <v>0</v>
      </c>
      <c r="Y146" s="63">
        <f>($L146+SUM($W146:X146))*(Q$11*Q146)</f>
        <v>1.6852241095890494</v>
      </c>
      <c r="Z146" s="63">
        <f>($L146+SUM($W146:Y146))*(R$11*R146)</f>
        <v>3.5385173195421453</v>
      </c>
      <c r="AA146" s="63">
        <f>($L146+SUM($W146:Z146))*(S$11*S146)</f>
        <v>3.4921309191829297</v>
      </c>
      <c r="AB146" s="63">
        <f>($L146+SUM($W146:AA146))*(T$11*T146)</f>
        <v>3.5614048039161275</v>
      </c>
      <c r="AC146" s="63">
        <f>($L146+SUM($W146:AB146))*(U$11*U146)</f>
        <v>0</v>
      </c>
      <c r="AD146" s="63">
        <f>($L146+SUM($W146:AC146))*(V$11*V146)</f>
        <v>0</v>
      </c>
      <c r="AE146" s="110">
        <f aca="true" t="shared" si="150" ref="AE146:AE151">SUM(W146:AD146)</f>
        <v>12.277277152230253</v>
      </c>
    </row>
    <row r="147" spans="1:31" ht="12.75">
      <c r="A147" s="3">
        <v>8</v>
      </c>
      <c r="B147" s="15">
        <f t="shared" si="100"/>
        <v>42583</v>
      </c>
      <c r="C147" s="243">
        <f t="shared" si="147"/>
        <v>42619</v>
      </c>
      <c r="D147" s="243">
        <f t="shared" si="147"/>
        <v>42634</v>
      </c>
      <c r="E147" s="30" t="s">
        <v>140</v>
      </c>
      <c r="F147" s="3">
        <v>9</v>
      </c>
      <c r="G147" s="362">
        <v>16</v>
      </c>
      <c r="H147" s="246">
        <f t="shared" si="148"/>
        <v>1623.7</v>
      </c>
      <c r="I147" s="246">
        <f t="shared" si="131"/>
        <v>1652.23</v>
      </c>
      <c r="J147" s="56">
        <f t="shared" si="101"/>
        <v>26435.68</v>
      </c>
      <c r="K147" s="74">
        <f t="shared" si="149"/>
        <v>25979.2</v>
      </c>
      <c r="L147" s="77">
        <f t="shared" si="145"/>
        <v>456.47999999999956</v>
      </c>
      <c r="M147" s="75">
        <f t="shared" si="89"/>
        <v>12.503623561076312</v>
      </c>
      <c r="N147" s="76">
        <f t="shared" si="146"/>
        <v>468.9836235610759</v>
      </c>
      <c r="O147" s="16">
        <f t="shared" si="141"/>
        <v>0</v>
      </c>
      <c r="P147" s="16">
        <f t="shared" si="141"/>
        <v>0</v>
      </c>
      <c r="Q147" s="16">
        <f t="shared" si="141"/>
        <v>10</v>
      </c>
      <c r="R147" s="16">
        <f t="shared" si="118"/>
        <v>92</v>
      </c>
      <c r="S147" s="16">
        <f t="shared" si="119"/>
        <v>90</v>
      </c>
      <c r="T147" s="16">
        <f t="shared" si="119"/>
        <v>91</v>
      </c>
      <c r="U147" s="16">
        <f t="shared" si="119"/>
        <v>0</v>
      </c>
      <c r="V147" s="106">
        <f t="shared" si="143"/>
        <v>0</v>
      </c>
      <c r="W147" s="141">
        <f t="shared" si="144"/>
        <v>0</v>
      </c>
      <c r="X147" s="63">
        <f>($L147+SUM($W147:W147))*(P$11*P147)</f>
        <v>0</v>
      </c>
      <c r="Y147" s="63">
        <f>($L147+SUM($W147:X147))*(Q$11*Q147)</f>
        <v>0.4377205479452051</v>
      </c>
      <c r="Z147" s="63">
        <f>($L147+SUM($W147:Y147))*(R$11*R147)</f>
        <v>4.030890575792829</v>
      </c>
      <c r="AA147" s="63">
        <f>($L147+SUM($W147:Z147))*(S$11*S147)</f>
        <v>3.978049657643215</v>
      </c>
      <c r="AB147" s="63">
        <f>($L147+SUM($W147:AA147))*(T$11*T147)</f>
        <v>4.056962779695063</v>
      </c>
      <c r="AC147" s="63">
        <f>($L147+SUM($W147:AB147))*(U$11*U147)</f>
        <v>0</v>
      </c>
      <c r="AD147" s="63">
        <f>($L147+SUM($W147:AC147))*(V$11*V147)</f>
        <v>0</v>
      </c>
      <c r="AE147" s="110">
        <f t="shared" si="150"/>
        <v>12.503623561076312</v>
      </c>
    </row>
    <row r="148" spans="1:31" ht="12.75">
      <c r="A148" s="3">
        <v>9</v>
      </c>
      <c r="B148" s="15">
        <f t="shared" si="100"/>
        <v>42614</v>
      </c>
      <c r="C148" s="243">
        <f t="shared" si="147"/>
        <v>42648</v>
      </c>
      <c r="D148" s="243">
        <f t="shared" si="147"/>
        <v>42663</v>
      </c>
      <c r="E148" s="30" t="s">
        <v>140</v>
      </c>
      <c r="F148" s="3">
        <v>9</v>
      </c>
      <c r="G148" s="362">
        <v>5</v>
      </c>
      <c r="H148" s="246">
        <f t="shared" si="148"/>
        <v>1623.7</v>
      </c>
      <c r="I148" s="246">
        <f t="shared" si="131"/>
        <v>1652.23</v>
      </c>
      <c r="J148" s="56">
        <f t="shared" si="101"/>
        <v>8261.15</v>
      </c>
      <c r="K148" s="74">
        <f t="shared" si="149"/>
        <v>8118.5</v>
      </c>
      <c r="L148" s="77">
        <f t="shared" si="145"/>
        <v>142.64999999999964</v>
      </c>
      <c r="M148" s="75">
        <f t="shared" si="89"/>
        <v>3.502555561578242</v>
      </c>
      <c r="N148" s="76">
        <f t="shared" si="146"/>
        <v>146.15255556157788</v>
      </c>
      <c r="O148" s="16">
        <f t="shared" si="141"/>
        <v>0</v>
      </c>
      <c r="P148" s="16">
        <f t="shared" si="141"/>
        <v>0</v>
      </c>
      <c r="Q148" s="16">
        <f t="shared" si="141"/>
        <v>0</v>
      </c>
      <c r="R148" s="16">
        <f t="shared" si="118"/>
        <v>73</v>
      </c>
      <c r="S148" s="16">
        <f t="shared" si="119"/>
        <v>90</v>
      </c>
      <c r="T148" s="16">
        <f t="shared" si="119"/>
        <v>91</v>
      </c>
      <c r="U148" s="16">
        <f t="shared" si="119"/>
        <v>0</v>
      </c>
      <c r="V148" s="106">
        <f t="shared" si="143"/>
        <v>0</v>
      </c>
      <c r="W148" s="141">
        <f t="shared" si="144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0.9985499999999976</v>
      </c>
      <c r="AA148" s="63">
        <f>($L148+SUM($W148:Z148))*(S$11*S148)</f>
        <v>1.2397066643835586</v>
      </c>
      <c r="AB148" s="63">
        <f>($L148+SUM($W148:AA148))*(T$11*T148)</f>
        <v>1.2642988971946862</v>
      </c>
      <c r="AC148" s="63">
        <f>($L148+SUM($W148:AB148))*(U$11*U148)</f>
        <v>0</v>
      </c>
      <c r="AD148" s="63">
        <f>($L148+SUM($W148:AC148))*(V$11*V148)</f>
        <v>0</v>
      </c>
      <c r="AE148" s="110">
        <f t="shared" si="150"/>
        <v>3.502555561578242</v>
      </c>
    </row>
    <row r="149" spans="1:31" ht="12.75">
      <c r="A149" s="16">
        <v>10</v>
      </c>
      <c r="B149" s="15">
        <f t="shared" si="100"/>
        <v>42644</v>
      </c>
      <c r="C149" s="243">
        <f t="shared" si="147"/>
        <v>42677</v>
      </c>
      <c r="D149" s="243">
        <f t="shared" si="147"/>
        <v>42692</v>
      </c>
      <c r="E149" s="30" t="s">
        <v>140</v>
      </c>
      <c r="F149" s="3">
        <v>9</v>
      </c>
      <c r="G149" s="362">
        <v>5</v>
      </c>
      <c r="H149" s="246">
        <f t="shared" si="148"/>
        <v>1623.7</v>
      </c>
      <c r="I149" s="246">
        <f t="shared" si="131"/>
        <v>1652.23</v>
      </c>
      <c r="J149" s="56">
        <f t="shared" si="101"/>
        <v>8261.15</v>
      </c>
      <c r="K149" s="74">
        <f t="shared" si="149"/>
        <v>8118.5</v>
      </c>
      <c r="L149" s="77">
        <f t="shared" si="145"/>
        <v>142.64999999999964</v>
      </c>
      <c r="M149" s="75">
        <f t="shared" si="89"/>
        <v>3.0989565249850752</v>
      </c>
      <c r="N149" s="76">
        <f t="shared" si="146"/>
        <v>145.74895652498472</v>
      </c>
      <c r="O149" s="16">
        <f t="shared" si="141"/>
        <v>0</v>
      </c>
      <c r="P149" s="16">
        <f t="shared" si="141"/>
        <v>0</v>
      </c>
      <c r="Q149" s="16">
        <f t="shared" si="141"/>
        <v>0</v>
      </c>
      <c r="R149" s="16">
        <f t="shared" si="118"/>
        <v>44</v>
      </c>
      <c r="S149" s="16">
        <f t="shared" si="119"/>
        <v>90</v>
      </c>
      <c r="T149" s="16">
        <f t="shared" si="119"/>
        <v>91</v>
      </c>
      <c r="U149" s="16">
        <f t="shared" si="119"/>
        <v>0</v>
      </c>
      <c r="V149" s="106">
        <f t="shared" si="143"/>
        <v>0</v>
      </c>
      <c r="W149" s="141">
        <f t="shared" si="144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0.6018657534246561</v>
      </c>
      <c r="AA149" s="63">
        <f>($L149+SUM($W149:Z149))*(S$11*S149)</f>
        <v>1.2362832249953055</v>
      </c>
      <c r="AB149" s="63">
        <f>($L149+SUM($W149:AA149))*(T$11*T149)</f>
        <v>1.2608075465651134</v>
      </c>
      <c r="AC149" s="63">
        <f>($L149+SUM($W149:AB149))*(U$11*U149)</f>
        <v>0</v>
      </c>
      <c r="AD149" s="63">
        <f>($L149+SUM($W149:AC149))*(V$11*V149)</f>
        <v>0</v>
      </c>
      <c r="AE149" s="110">
        <f t="shared" si="150"/>
        <v>3.0989565249850752</v>
      </c>
    </row>
    <row r="150" spans="1:31" ht="12.75">
      <c r="A150" s="3">
        <v>11</v>
      </c>
      <c r="B150" s="15">
        <f t="shared" si="100"/>
        <v>42675</v>
      </c>
      <c r="C150" s="243">
        <f t="shared" si="147"/>
        <v>42709</v>
      </c>
      <c r="D150" s="243">
        <f t="shared" si="147"/>
        <v>42724</v>
      </c>
      <c r="E150" s="30" t="s">
        <v>140</v>
      </c>
      <c r="F150" s="3">
        <v>9</v>
      </c>
      <c r="G150" s="362">
        <v>5</v>
      </c>
      <c r="H150" s="246">
        <f t="shared" si="148"/>
        <v>1623.7</v>
      </c>
      <c r="I150" s="246">
        <f t="shared" si="131"/>
        <v>1652.23</v>
      </c>
      <c r="J150" s="56">
        <f t="shared" si="101"/>
        <v>8261.15</v>
      </c>
      <c r="K150" s="74">
        <f t="shared" si="149"/>
        <v>8118.5</v>
      </c>
      <c r="L150" s="77">
        <f t="shared" si="145"/>
        <v>142.64999999999964</v>
      </c>
      <c r="M150" s="75">
        <f aca="true" t="shared" si="151" ref="M150:M211">+AE150</f>
        <v>2.653605863916753</v>
      </c>
      <c r="N150" s="76">
        <f t="shared" si="146"/>
        <v>145.3036058639164</v>
      </c>
      <c r="O150" s="16">
        <f t="shared" si="141"/>
        <v>0</v>
      </c>
      <c r="P150" s="16">
        <f t="shared" si="141"/>
        <v>0</v>
      </c>
      <c r="Q150" s="16">
        <f t="shared" si="141"/>
        <v>0</v>
      </c>
      <c r="R150" s="16">
        <f aca="true" t="shared" si="152" ref="R150:U151">IF($D150&lt;R$8,R$12,IF($D150&lt;S$8,S$8-$D150,0))</f>
        <v>12</v>
      </c>
      <c r="S150" s="16">
        <f t="shared" si="152"/>
        <v>90</v>
      </c>
      <c r="T150" s="16">
        <f t="shared" si="152"/>
        <v>91</v>
      </c>
      <c r="U150" s="16">
        <f t="shared" si="152"/>
        <v>0</v>
      </c>
      <c r="V150" s="106">
        <f t="shared" si="143"/>
        <v>0</v>
      </c>
      <c r="W150" s="141">
        <f t="shared" si="144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0.16414520547945166</v>
      </c>
      <c r="AA150" s="63">
        <f>($L150+SUM($W150:Z150))*(S$11*S150)</f>
        <v>1.2325056367048197</v>
      </c>
      <c r="AB150" s="63">
        <f>($L150+SUM($W150:AA150))*(T$11*T150)</f>
        <v>1.2569550217324814</v>
      </c>
      <c r="AC150" s="63">
        <f>($L150+SUM($W150:AB150))*(U$11*U150)</f>
        <v>0</v>
      </c>
      <c r="AD150" s="63">
        <f>($L150+SUM($W150:AC150))*(V$11*V150)</f>
        <v>0</v>
      </c>
      <c r="AE150" s="110">
        <f t="shared" si="150"/>
        <v>2.653605863916753</v>
      </c>
    </row>
    <row r="151" spans="1:31" s="69" customFormat="1" ht="12.75">
      <c r="A151" s="3">
        <v>12</v>
      </c>
      <c r="B151" s="83">
        <f t="shared" si="100"/>
        <v>42705</v>
      </c>
      <c r="C151" s="243">
        <f t="shared" si="147"/>
        <v>42740</v>
      </c>
      <c r="D151" s="243">
        <f t="shared" si="147"/>
        <v>42755</v>
      </c>
      <c r="E151" s="84" t="s">
        <v>140</v>
      </c>
      <c r="F151" s="81">
        <v>9</v>
      </c>
      <c r="G151" s="363">
        <v>8</v>
      </c>
      <c r="H151" s="247">
        <f t="shared" si="148"/>
        <v>1623.7</v>
      </c>
      <c r="I151" s="247">
        <f t="shared" si="131"/>
        <v>1652.23</v>
      </c>
      <c r="J151" s="85">
        <f t="shared" si="101"/>
        <v>13217.84</v>
      </c>
      <c r="K151" s="86">
        <f t="shared" si="149"/>
        <v>12989.6</v>
      </c>
      <c r="L151" s="87">
        <f t="shared" si="145"/>
        <v>228.23999999999978</v>
      </c>
      <c r="M151" s="88">
        <f t="shared" si="151"/>
        <v>3.5590958816588447</v>
      </c>
      <c r="N151" s="89">
        <f t="shared" si="146"/>
        <v>231.79909588165862</v>
      </c>
      <c r="O151" s="81">
        <f t="shared" si="141"/>
        <v>0</v>
      </c>
      <c r="P151" s="81">
        <f t="shared" si="141"/>
        <v>0</v>
      </c>
      <c r="Q151" s="81">
        <f t="shared" si="141"/>
        <v>0</v>
      </c>
      <c r="R151" s="81">
        <f t="shared" si="152"/>
        <v>0</v>
      </c>
      <c r="S151" s="81">
        <f t="shared" si="152"/>
        <v>71</v>
      </c>
      <c r="T151" s="81">
        <f t="shared" si="152"/>
        <v>91</v>
      </c>
      <c r="U151" s="81">
        <f t="shared" si="152"/>
        <v>0</v>
      </c>
      <c r="V151" s="107">
        <f t="shared" si="143"/>
        <v>0</v>
      </c>
      <c r="W151" s="142">
        <f t="shared" si="144"/>
        <v>0</v>
      </c>
      <c r="X151" s="90">
        <f>($L151+SUM($W151:W151))*(P$11*P151)</f>
        <v>0</v>
      </c>
      <c r="Y151" s="90">
        <f>($L151+SUM($W151:X151))*(Q$11*Q151)</f>
        <v>0</v>
      </c>
      <c r="Z151" s="90">
        <f>($L151+SUM($W151:Y151))*(R$11*R151)</f>
        <v>0</v>
      </c>
      <c r="AA151" s="90">
        <f>($L151+SUM($W151:Z151))*(S$11*S151)</f>
        <v>1.553907945205478</v>
      </c>
      <c r="AB151" s="90">
        <f>($L151+SUM($W151:AA151))*(T$11*T151)</f>
        <v>2.0051879364533667</v>
      </c>
      <c r="AC151" s="90">
        <f>($L151+SUM($W151:AB151))*(U$11*U151)</f>
        <v>0</v>
      </c>
      <c r="AD151" s="90">
        <f>($L151+SUM($W151:AC151))*(V$11*V151)</f>
        <v>0</v>
      </c>
      <c r="AE151" s="111">
        <f t="shared" si="150"/>
        <v>3.5590958816588447</v>
      </c>
    </row>
    <row r="152" spans="1:31" ht="12.75">
      <c r="A152" s="16">
        <v>1</v>
      </c>
      <c r="B152" s="15">
        <f t="shared" si="100"/>
        <v>42370</v>
      </c>
      <c r="C152" s="242">
        <f t="shared" si="147"/>
        <v>42403</v>
      </c>
      <c r="D152" s="242">
        <f t="shared" si="147"/>
        <v>42418</v>
      </c>
      <c r="E152" s="117" t="s">
        <v>141</v>
      </c>
      <c r="F152" s="3">
        <v>9</v>
      </c>
      <c r="G152" s="362">
        <v>1</v>
      </c>
      <c r="H152" s="246">
        <f aca="true" t="shared" si="153" ref="H152:H157">$K$3</f>
        <v>1566.72</v>
      </c>
      <c r="I152" s="246">
        <f t="shared" si="131"/>
        <v>1652.23</v>
      </c>
      <c r="J152" s="56">
        <f t="shared" si="101"/>
        <v>1652.23</v>
      </c>
      <c r="K152" s="57">
        <f t="shared" si="149"/>
        <v>1566.72</v>
      </c>
      <c r="L152" s="58">
        <f t="shared" si="145"/>
        <v>85.50999999999999</v>
      </c>
      <c r="M152" s="55">
        <f t="shared" si="151"/>
        <v>4.13734658902692</v>
      </c>
      <c r="N152" s="29">
        <f t="shared" si="146"/>
        <v>89.64734658902691</v>
      </c>
      <c r="O152" s="16">
        <f aca="true" t="shared" si="154" ref="O152:O166">IF($D152&lt;O$8,O$12,IF($D152&lt;P$8,P$8-$D152,0))</f>
        <v>43</v>
      </c>
      <c r="P152" s="16">
        <f aca="true" t="shared" si="155" ref="P152:P166">IF($D152&lt;P$8,P$12,IF($D152&lt;Q$8,Q$8-$D152,0))</f>
        <v>91</v>
      </c>
      <c r="Q152" s="16">
        <f aca="true" t="shared" si="156" ref="Q152:Q166">IF($D152&lt;Q$8,Q$12,IF($D152&lt;R$8,R$8-$D152,0))</f>
        <v>92</v>
      </c>
      <c r="R152" s="16">
        <f aca="true" t="shared" si="157" ref="R152:R166">IF($D152&lt;R$8,R$12,IF($D152&lt;S$8,S$8-$D152,0))</f>
        <v>92</v>
      </c>
      <c r="S152" s="16">
        <f aca="true" t="shared" si="158" ref="S152:U153">IF($D152&lt;S$8,S$12,IF($D152&lt;T$8,T$8-$D152,0))</f>
        <v>90</v>
      </c>
      <c r="T152" s="16">
        <f t="shared" si="158"/>
        <v>91</v>
      </c>
      <c r="U152" s="16">
        <f t="shared" si="158"/>
        <v>0</v>
      </c>
      <c r="V152" s="106">
        <f t="shared" si="143"/>
        <v>0</v>
      </c>
      <c r="W152" s="141">
        <f t="shared" si="144"/>
        <v>0.32739787671232873</v>
      </c>
      <c r="X152" s="63">
        <f>($L152+SUM($W152:W152))*(P$11*P152)</f>
        <v>0.7397459109983299</v>
      </c>
      <c r="Y152" s="63">
        <f>($L152+SUM($W152:X152))*(Q$11*Q152)</f>
        <v>0.7637764465655571</v>
      </c>
      <c r="Z152" s="63">
        <f>($L152+SUM($W152:Y152))*(R$11*R152)</f>
        <v>0.7705144196010122</v>
      </c>
      <c r="AA152" s="63">
        <f>($L152+SUM($W152:Z152))*(S$11*S152)</f>
        <v>0.7604137511225021</v>
      </c>
      <c r="AB152" s="63">
        <f>($L152+SUM($W152:AA152))*(T$11*T152)</f>
        <v>0.7754981840271894</v>
      </c>
      <c r="AC152" s="63">
        <f>($L152+SUM($W152:AB152))*(U$11*U152)</f>
        <v>0</v>
      </c>
      <c r="AD152" s="63">
        <f>($L152+SUM($W152:AC152))*(V$11*V152)</f>
        <v>0</v>
      </c>
      <c r="AE152" s="110">
        <f>SUM(W152:AD152)</f>
        <v>4.13734658902692</v>
      </c>
    </row>
    <row r="153" spans="1:31" ht="12.75">
      <c r="A153" s="3">
        <v>2</v>
      </c>
      <c r="B153" s="15">
        <f t="shared" si="100"/>
        <v>42401</v>
      </c>
      <c r="C153" s="243">
        <f t="shared" si="147"/>
        <v>42432</v>
      </c>
      <c r="D153" s="243">
        <f t="shared" si="147"/>
        <v>42447</v>
      </c>
      <c r="E153" s="30" t="s">
        <v>141</v>
      </c>
      <c r="F153" s="3">
        <v>9</v>
      </c>
      <c r="G153" s="362">
        <v>1</v>
      </c>
      <c r="H153" s="246">
        <f t="shared" si="153"/>
        <v>1566.72</v>
      </c>
      <c r="I153" s="246">
        <f t="shared" si="131"/>
        <v>1652.23</v>
      </c>
      <c r="J153" s="56">
        <f t="shared" si="101"/>
        <v>1652.23</v>
      </c>
      <c r="K153" s="57">
        <f t="shared" si="149"/>
        <v>1566.72</v>
      </c>
      <c r="L153" s="58">
        <f t="shared" si="145"/>
        <v>85.50999999999999</v>
      </c>
      <c r="M153" s="55">
        <f t="shared" si="151"/>
        <v>3.9067428754094466</v>
      </c>
      <c r="N153" s="29">
        <f t="shared" si="146"/>
        <v>89.41674287540944</v>
      </c>
      <c r="O153" s="16">
        <f t="shared" si="154"/>
        <v>14</v>
      </c>
      <c r="P153" s="16">
        <f t="shared" si="155"/>
        <v>91</v>
      </c>
      <c r="Q153" s="16">
        <f t="shared" si="156"/>
        <v>92</v>
      </c>
      <c r="R153" s="16">
        <f t="shared" si="157"/>
        <v>92</v>
      </c>
      <c r="S153" s="16">
        <f t="shared" si="158"/>
        <v>90</v>
      </c>
      <c r="T153" s="16">
        <f t="shared" si="158"/>
        <v>91</v>
      </c>
      <c r="U153" s="16">
        <f t="shared" si="158"/>
        <v>0</v>
      </c>
      <c r="V153" s="106">
        <f t="shared" si="143"/>
        <v>0</v>
      </c>
      <c r="W153" s="141">
        <f t="shared" si="144"/>
        <v>0.10659465753424657</v>
      </c>
      <c r="X153" s="63">
        <f>($L153+SUM($W153:W153))*(P$11*P153)</f>
        <v>0.7378430308719209</v>
      </c>
      <c r="Y153" s="63">
        <f>($L153+SUM($W153:X153))*(Q$11*Q153)</f>
        <v>0.7618117516621038</v>
      </c>
      <c r="Z153" s="63">
        <f>($L153+SUM($W153:Y153))*(R$11*R153)</f>
        <v>0.7685323923206023</v>
      </c>
      <c r="AA153" s="63">
        <f>($L153+SUM($W153:Z153))*(S$11*S153)</f>
        <v>0.7584577062247259</v>
      </c>
      <c r="AB153" s="63">
        <f>($L153+SUM($W153:AA153))*(T$11*T153)</f>
        <v>0.7735033367958474</v>
      </c>
      <c r="AC153" s="63">
        <f>($L153+SUM($W153:AB153))*(U$11*U153)</f>
        <v>0</v>
      </c>
      <c r="AD153" s="63">
        <f>($L153+SUM($W153:AC153))*(V$11*V153)</f>
        <v>0</v>
      </c>
      <c r="AE153" s="110">
        <f>SUM(W153:AD153)</f>
        <v>3.9067428754094466</v>
      </c>
    </row>
    <row r="154" spans="1:31" ht="12.75">
      <c r="A154" s="3">
        <v>3</v>
      </c>
      <c r="B154" s="15">
        <f t="shared" si="100"/>
        <v>42430</v>
      </c>
      <c r="C154" s="243">
        <f t="shared" si="147"/>
        <v>42465</v>
      </c>
      <c r="D154" s="243">
        <f t="shared" si="147"/>
        <v>42480</v>
      </c>
      <c r="E154" s="30" t="s">
        <v>141</v>
      </c>
      <c r="F154" s="3">
        <v>9</v>
      </c>
      <c r="G154" s="362">
        <v>1</v>
      </c>
      <c r="H154" s="246">
        <f t="shared" si="153"/>
        <v>1566.72</v>
      </c>
      <c r="I154" s="246">
        <f t="shared" si="131"/>
        <v>1652.23</v>
      </c>
      <c r="J154" s="56">
        <f t="shared" si="101"/>
        <v>1652.23</v>
      </c>
      <c r="K154" s="57">
        <f t="shared" si="149"/>
        <v>1566.72</v>
      </c>
      <c r="L154" s="58">
        <f>+J154-K154</f>
        <v>85.50999999999999</v>
      </c>
      <c r="M154" s="55">
        <f t="shared" si="151"/>
        <v>3.636097299663912</v>
      </c>
      <c r="N154" s="29">
        <f>SUM(L154:M154)</f>
        <v>89.14609729966391</v>
      </c>
      <c r="O154" s="16">
        <f aca="true" t="shared" si="159" ref="O154:O161">IF($D154&lt;O$8,O$12,IF($D154&lt;P$8,P$8-$D154,0))</f>
        <v>0</v>
      </c>
      <c r="P154" s="16">
        <f aca="true" t="shared" si="160" ref="P154:P161">IF($D154&lt;P$8,P$12,IF($D154&lt;Q$8,Q$8-$D154,0))</f>
        <v>72</v>
      </c>
      <c r="Q154" s="16">
        <f aca="true" t="shared" si="161" ref="Q154:Q161">IF($D154&lt;Q$8,Q$12,IF($D154&lt;R$8,R$8-$D154,0))</f>
        <v>92</v>
      </c>
      <c r="R154" s="16">
        <f aca="true" t="shared" si="162" ref="R154:R161">IF($D154&lt;R$8,R$12,IF($D154&lt;S$8,S$8-$D154,0))</f>
        <v>92</v>
      </c>
      <c r="S154" s="16">
        <f aca="true" t="shared" si="163" ref="S154:U161">IF($D154&lt;S$8,S$12,IF($D154&lt;T$8,T$8-$D154,0))</f>
        <v>90</v>
      </c>
      <c r="T154" s="16">
        <f t="shared" si="163"/>
        <v>91</v>
      </c>
      <c r="U154" s="16">
        <f t="shared" si="163"/>
        <v>0</v>
      </c>
      <c r="V154" s="106">
        <f aca="true" t="shared" si="164" ref="V154:V161">IF(W$8&lt;V$8,0,IF($D154&lt;V$8,V$12,IF($D154&lt;W$8,W$8-$D154,0)))</f>
        <v>0</v>
      </c>
      <c r="W154" s="141">
        <f aca="true" t="shared" si="165" ref="W154:W161">$L154*O$11*O154</f>
        <v>0</v>
      </c>
      <c r="X154" s="63">
        <f>($L154+SUM($W154:W154))*(P$11*P154)</f>
        <v>0.5830610630136986</v>
      </c>
      <c r="Y154" s="63">
        <f>($L154+SUM($W154:X154))*(Q$11*Q154)</f>
        <v>0.7595059085559017</v>
      </c>
      <c r="Z154" s="63">
        <f>($L154+SUM($W154:Y154))*(R$11*R154)</f>
        <v>0.7662062072560386</v>
      </c>
      <c r="AA154" s="63">
        <f>($L154+SUM($W154:Z154))*(S$11*S154)</f>
        <v>0.7561620151049336</v>
      </c>
      <c r="AB154" s="63">
        <f>($L154+SUM($W154:AA154))*(T$11*T154)</f>
        <v>0.7711621057333393</v>
      </c>
      <c r="AC154" s="63">
        <f>($L154+SUM($W154:AB154))*(U$11*U154)</f>
        <v>0</v>
      </c>
      <c r="AD154" s="63">
        <f>($L154+SUM($W154:AC154))*(V$11*V154)</f>
        <v>0</v>
      </c>
      <c r="AE154" s="110">
        <f aca="true" t="shared" si="166" ref="AE154:AE161">SUM(W154:AD154)</f>
        <v>3.636097299663912</v>
      </c>
    </row>
    <row r="155" spans="1:31" ht="12.75">
      <c r="A155" s="16">
        <v>4</v>
      </c>
      <c r="B155" s="15">
        <f t="shared" si="100"/>
        <v>42461</v>
      </c>
      <c r="C155" s="243">
        <f t="shared" si="147"/>
        <v>42494</v>
      </c>
      <c r="D155" s="243">
        <f t="shared" si="147"/>
        <v>42509</v>
      </c>
      <c r="E155" s="30" t="s">
        <v>141</v>
      </c>
      <c r="F155" s="3">
        <v>9</v>
      </c>
      <c r="G155" s="362">
        <v>1</v>
      </c>
      <c r="H155" s="246">
        <f t="shared" si="153"/>
        <v>1566.72</v>
      </c>
      <c r="I155" s="246">
        <f t="shared" si="131"/>
        <v>1652.23</v>
      </c>
      <c r="J155" s="56">
        <f t="shared" si="101"/>
        <v>1652.23</v>
      </c>
      <c r="K155" s="57">
        <f t="shared" si="149"/>
        <v>1566.72</v>
      </c>
      <c r="L155" s="58">
        <f aca="true" t="shared" si="167" ref="L155:L165">+J155-K155</f>
        <v>85.50999999999999</v>
      </c>
      <c r="M155" s="55">
        <f t="shared" si="151"/>
        <v>3.392925209875707</v>
      </c>
      <c r="N155" s="29">
        <f aca="true" t="shared" si="168" ref="N155:N165">SUM(L155:M155)</f>
        <v>88.9029252098757</v>
      </c>
      <c r="O155" s="16">
        <f t="shared" si="159"/>
        <v>0</v>
      </c>
      <c r="P155" s="16">
        <f t="shared" si="160"/>
        <v>43</v>
      </c>
      <c r="Q155" s="16">
        <f t="shared" si="161"/>
        <v>92</v>
      </c>
      <c r="R155" s="16">
        <f t="shared" si="162"/>
        <v>92</v>
      </c>
      <c r="S155" s="16">
        <f t="shared" si="163"/>
        <v>90</v>
      </c>
      <c r="T155" s="16">
        <f t="shared" si="163"/>
        <v>91</v>
      </c>
      <c r="U155" s="16">
        <f t="shared" si="163"/>
        <v>0</v>
      </c>
      <c r="V155" s="106">
        <f t="shared" si="164"/>
        <v>0</v>
      </c>
      <c r="W155" s="141">
        <f t="shared" si="165"/>
        <v>0</v>
      </c>
      <c r="X155" s="63">
        <f>($L155+SUM($W155:W155))*(P$11*P155)</f>
        <v>0.3482170237442922</v>
      </c>
      <c r="Y155" s="63">
        <f>($L155+SUM($W155:X155))*(Q$11*Q155)</f>
        <v>0.7574341337437168</v>
      </c>
      <c r="Z155" s="63">
        <f>($L155+SUM($W155:Y155))*(R$11*R155)</f>
        <v>0.7641161554167436</v>
      </c>
      <c r="AA155" s="63">
        <f>($L155+SUM($W155:Z155))*(S$11*S155)</f>
        <v>0.7540993617415068</v>
      </c>
      <c r="AB155" s="63">
        <f>($L155+SUM($W155:AA155))*(T$11*T155)</f>
        <v>0.7690585352294474</v>
      </c>
      <c r="AC155" s="63">
        <f>($L155+SUM($W155:AB155))*(U$11*U155)</f>
        <v>0</v>
      </c>
      <c r="AD155" s="63">
        <f>($L155+SUM($W155:AC155))*(V$11*V155)</f>
        <v>0</v>
      </c>
      <c r="AE155" s="110">
        <f t="shared" si="166"/>
        <v>3.392925209875707</v>
      </c>
    </row>
    <row r="156" spans="1:31" ht="12.75">
      <c r="A156" s="3">
        <v>5</v>
      </c>
      <c r="B156" s="15">
        <f t="shared" si="100"/>
        <v>42491</v>
      </c>
      <c r="C156" s="243">
        <f t="shared" si="147"/>
        <v>42524</v>
      </c>
      <c r="D156" s="243">
        <f t="shared" si="147"/>
        <v>42541</v>
      </c>
      <c r="E156" s="30" t="s">
        <v>141</v>
      </c>
      <c r="F156" s="3">
        <v>9</v>
      </c>
      <c r="G156" s="362">
        <v>1</v>
      </c>
      <c r="H156" s="246">
        <f t="shared" si="153"/>
        <v>1566.72</v>
      </c>
      <c r="I156" s="246">
        <f t="shared" si="131"/>
        <v>1652.23</v>
      </c>
      <c r="J156" s="56">
        <f t="shared" si="101"/>
        <v>1652.23</v>
      </c>
      <c r="K156" s="57">
        <f t="shared" si="149"/>
        <v>1566.72</v>
      </c>
      <c r="L156" s="58">
        <f t="shared" si="167"/>
        <v>85.50999999999999</v>
      </c>
      <c r="M156" s="55">
        <f t="shared" si="151"/>
        <v>3.1245973866611356</v>
      </c>
      <c r="N156" s="29">
        <f t="shared" si="168"/>
        <v>88.63459738666113</v>
      </c>
      <c r="O156" s="16">
        <f t="shared" si="159"/>
        <v>0</v>
      </c>
      <c r="P156" s="16">
        <f t="shared" si="160"/>
        <v>11</v>
      </c>
      <c r="Q156" s="16">
        <f t="shared" si="161"/>
        <v>92</v>
      </c>
      <c r="R156" s="16">
        <f t="shared" si="162"/>
        <v>92</v>
      </c>
      <c r="S156" s="16">
        <f t="shared" si="163"/>
        <v>90</v>
      </c>
      <c r="T156" s="16">
        <f t="shared" si="163"/>
        <v>91</v>
      </c>
      <c r="U156" s="16">
        <f t="shared" si="163"/>
        <v>0</v>
      </c>
      <c r="V156" s="106">
        <f t="shared" si="164"/>
        <v>0</v>
      </c>
      <c r="W156" s="141">
        <f t="shared" si="165"/>
        <v>0</v>
      </c>
      <c r="X156" s="63">
        <f>($L156+SUM($W156:W156))*(P$11*P156)</f>
        <v>0.08907877351598173</v>
      </c>
      <c r="Y156" s="63">
        <f>($L156+SUM($W156:X156))*(Q$11*Q156)</f>
        <v>0.7551480373992369</v>
      </c>
      <c r="Z156" s="63">
        <f>($L156+SUM($W156:Y156))*(R$11*R156)</f>
        <v>0.761809891318211</v>
      </c>
      <c r="AA156" s="63">
        <f>($L156+SUM($W156:Z156))*(S$11*S156)</f>
        <v>0.7518233304439322</v>
      </c>
      <c r="AB156" s="63">
        <f>($L156+SUM($W156:AA156))*(T$11*T156)</f>
        <v>0.7667373539837736</v>
      </c>
      <c r="AC156" s="63">
        <f>($L156+SUM($W156:AB156))*(U$11*U156)</f>
        <v>0</v>
      </c>
      <c r="AD156" s="63">
        <f>($L156+SUM($W156:AC156))*(V$11*V156)</f>
        <v>0</v>
      </c>
      <c r="AE156" s="110">
        <f t="shared" si="166"/>
        <v>3.1245973866611356</v>
      </c>
    </row>
    <row r="157" spans="1:31" ht="12.75">
      <c r="A157" s="3">
        <v>6</v>
      </c>
      <c r="B157" s="15">
        <f t="shared" si="100"/>
        <v>42522</v>
      </c>
      <c r="C157" s="243">
        <f t="shared" si="147"/>
        <v>42557</v>
      </c>
      <c r="D157" s="243">
        <f t="shared" si="147"/>
        <v>42572</v>
      </c>
      <c r="E157" s="30" t="s">
        <v>141</v>
      </c>
      <c r="F157" s="3">
        <v>9</v>
      </c>
      <c r="G157" s="362">
        <v>2</v>
      </c>
      <c r="H157" s="246">
        <f t="shared" si="153"/>
        <v>1566.72</v>
      </c>
      <c r="I157" s="246">
        <f t="shared" si="131"/>
        <v>1652.23</v>
      </c>
      <c r="J157" s="56">
        <f t="shared" si="101"/>
        <v>3304.46</v>
      </c>
      <c r="K157" s="57">
        <f t="shared" si="149"/>
        <v>3133.44</v>
      </c>
      <c r="L157" s="77">
        <f t="shared" si="167"/>
        <v>171.01999999999998</v>
      </c>
      <c r="M157" s="78">
        <f t="shared" si="151"/>
        <v>5.72807471620166</v>
      </c>
      <c r="N157" s="76">
        <f t="shared" si="168"/>
        <v>176.74807471620164</v>
      </c>
      <c r="O157" s="16">
        <f t="shared" si="159"/>
        <v>0</v>
      </c>
      <c r="P157" s="16">
        <f t="shared" si="160"/>
        <v>0</v>
      </c>
      <c r="Q157" s="16">
        <f t="shared" si="161"/>
        <v>72</v>
      </c>
      <c r="R157" s="16">
        <f t="shared" si="162"/>
        <v>92</v>
      </c>
      <c r="S157" s="16">
        <f t="shared" si="163"/>
        <v>90</v>
      </c>
      <c r="T157" s="16">
        <f t="shared" si="163"/>
        <v>91</v>
      </c>
      <c r="U157" s="16">
        <f t="shared" si="163"/>
        <v>0</v>
      </c>
      <c r="V157" s="106">
        <f t="shared" si="164"/>
        <v>0</v>
      </c>
      <c r="W157" s="141">
        <f t="shared" si="165"/>
        <v>0</v>
      </c>
      <c r="X157" s="63">
        <f>($L157+SUM($W157:W157))*(P$11*P157)</f>
        <v>0</v>
      </c>
      <c r="Y157" s="63">
        <f>($L157+SUM($W157:X157))*(Q$11*Q157)</f>
        <v>1.1807408219178082</v>
      </c>
      <c r="Z157" s="63">
        <f>($L157+SUM($W157:Y157))*(R$11*R157)</f>
        <v>1.519140782045412</v>
      </c>
      <c r="AA157" s="63">
        <f>($L157+SUM($W157:Z157))*(S$11*S157)</f>
        <v>1.4992263754862578</v>
      </c>
      <c r="AB157" s="63">
        <f>($L157+SUM($W157:AA157))*(T$11*T157)</f>
        <v>1.5289667367521822</v>
      </c>
      <c r="AC157" s="63">
        <f>($L157+SUM($W157:AB157))*(U$11*U157)</f>
        <v>0</v>
      </c>
      <c r="AD157" s="63">
        <f>($L157+SUM($W157:AC157))*(V$11*V157)</f>
        <v>0</v>
      </c>
      <c r="AE157" s="110">
        <f t="shared" si="166"/>
        <v>5.72807471620166</v>
      </c>
    </row>
    <row r="158" spans="1:31" ht="12.75">
      <c r="A158" s="16">
        <v>7</v>
      </c>
      <c r="B158" s="15">
        <f t="shared" si="100"/>
        <v>42552</v>
      </c>
      <c r="C158" s="243">
        <f t="shared" si="147"/>
        <v>42585</v>
      </c>
      <c r="D158" s="243">
        <f t="shared" si="147"/>
        <v>42600</v>
      </c>
      <c r="E158" s="30" t="s">
        <v>141</v>
      </c>
      <c r="F158" s="3">
        <v>9</v>
      </c>
      <c r="G158" s="362">
        <v>2</v>
      </c>
      <c r="H158" s="246">
        <f aca="true" t="shared" si="169" ref="H158:H163">$K$8</f>
        <v>1623.7</v>
      </c>
      <c r="I158" s="246">
        <f t="shared" si="131"/>
        <v>1652.23</v>
      </c>
      <c r="J158" s="56">
        <f t="shared" si="101"/>
        <v>3304.46</v>
      </c>
      <c r="K158" s="74">
        <f t="shared" si="149"/>
        <v>3247.4</v>
      </c>
      <c r="L158" s="77">
        <f t="shared" si="167"/>
        <v>57.059999999999945</v>
      </c>
      <c r="M158" s="75">
        <f t="shared" si="151"/>
        <v>1.7538967360328832</v>
      </c>
      <c r="N158" s="76">
        <f t="shared" si="168"/>
        <v>58.81389673603283</v>
      </c>
      <c r="O158" s="16">
        <f t="shared" si="159"/>
        <v>0</v>
      </c>
      <c r="P158" s="16">
        <f t="shared" si="160"/>
        <v>0</v>
      </c>
      <c r="Q158" s="16">
        <f t="shared" si="161"/>
        <v>44</v>
      </c>
      <c r="R158" s="16">
        <f t="shared" si="162"/>
        <v>92</v>
      </c>
      <c r="S158" s="16">
        <f t="shared" si="163"/>
        <v>90</v>
      </c>
      <c r="T158" s="16">
        <f t="shared" si="163"/>
        <v>91</v>
      </c>
      <c r="U158" s="16">
        <f t="shared" si="163"/>
        <v>0</v>
      </c>
      <c r="V158" s="106">
        <f t="shared" si="164"/>
        <v>0</v>
      </c>
      <c r="W158" s="141">
        <f t="shared" si="165"/>
        <v>0</v>
      </c>
      <c r="X158" s="63">
        <f>($L158+SUM($W158:W158))*(P$11*P158)</f>
        <v>0</v>
      </c>
      <c r="Y158" s="63">
        <f>($L158+SUM($W158:X158))*(Q$11*Q158)</f>
        <v>0.24074630136986283</v>
      </c>
      <c r="Z158" s="63">
        <f>($L158+SUM($W158:Y158))*(R$11*R158)</f>
        <v>0.5055024742203036</v>
      </c>
      <c r="AA158" s="63">
        <f>($L158+SUM($W158:Z158))*(S$11*S158)</f>
        <v>0.49887584559755854</v>
      </c>
      <c r="AB158" s="63">
        <f>($L158+SUM($W158:AA158))*(T$11*T158)</f>
        <v>0.5087721148451582</v>
      </c>
      <c r="AC158" s="63">
        <f>($L158+SUM($W158:AB158))*(U$11*U158)</f>
        <v>0</v>
      </c>
      <c r="AD158" s="63">
        <f>($L158+SUM($W158:AC158))*(V$11*V158)</f>
        <v>0</v>
      </c>
      <c r="AE158" s="110">
        <f t="shared" si="166"/>
        <v>1.7538967360328832</v>
      </c>
    </row>
    <row r="159" spans="1:31" ht="12.75">
      <c r="A159" s="3">
        <v>8</v>
      </c>
      <c r="B159" s="15">
        <f t="shared" si="100"/>
        <v>42583</v>
      </c>
      <c r="C159" s="243">
        <f t="shared" si="147"/>
        <v>42619</v>
      </c>
      <c r="D159" s="243">
        <f t="shared" si="147"/>
        <v>42634</v>
      </c>
      <c r="E159" s="30" t="s">
        <v>141</v>
      </c>
      <c r="F159" s="3">
        <v>9</v>
      </c>
      <c r="G159" s="362">
        <v>3</v>
      </c>
      <c r="H159" s="246">
        <f t="shared" si="169"/>
        <v>1623.7</v>
      </c>
      <c r="I159" s="246">
        <f t="shared" si="131"/>
        <v>1652.23</v>
      </c>
      <c r="J159" s="56">
        <f t="shared" si="101"/>
        <v>4956.6900000000005</v>
      </c>
      <c r="K159" s="74">
        <f t="shared" si="149"/>
        <v>4871.1</v>
      </c>
      <c r="L159" s="77">
        <f t="shared" si="167"/>
        <v>85.59000000000015</v>
      </c>
      <c r="M159" s="75">
        <f t="shared" si="151"/>
        <v>2.344429417701815</v>
      </c>
      <c r="N159" s="76">
        <f t="shared" si="168"/>
        <v>87.93442941770196</v>
      </c>
      <c r="O159" s="16">
        <f t="shared" si="159"/>
        <v>0</v>
      </c>
      <c r="P159" s="16">
        <f t="shared" si="160"/>
        <v>0</v>
      </c>
      <c r="Q159" s="16">
        <f t="shared" si="161"/>
        <v>10</v>
      </c>
      <c r="R159" s="16">
        <f t="shared" si="162"/>
        <v>92</v>
      </c>
      <c r="S159" s="16">
        <f t="shared" si="163"/>
        <v>90</v>
      </c>
      <c r="T159" s="16">
        <f t="shared" si="163"/>
        <v>91</v>
      </c>
      <c r="U159" s="16">
        <f t="shared" si="163"/>
        <v>0</v>
      </c>
      <c r="V159" s="106">
        <f t="shared" si="164"/>
        <v>0</v>
      </c>
      <c r="W159" s="141">
        <f t="shared" si="165"/>
        <v>0</v>
      </c>
      <c r="X159" s="63">
        <f>($L159+SUM($W159:W159))*(P$11*P159)</f>
        <v>0</v>
      </c>
      <c r="Y159" s="63">
        <f>($L159+SUM($W159:X159))*(Q$11*Q159)</f>
        <v>0.08207260273972618</v>
      </c>
      <c r="Z159" s="63">
        <f>($L159+SUM($W159:Y159))*(R$11*R159)</f>
        <v>0.7557919829611573</v>
      </c>
      <c r="AA159" s="63">
        <f>($L159+SUM($W159:Z159))*(S$11*S159)</f>
        <v>0.7458843108081048</v>
      </c>
      <c r="AB159" s="63">
        <f>($L159+SUM($W159:AA159))*(T$11*T159)</f>
        <v>0.7606805211928264</v>
      </c>
      <c r="AC159" s="63">
        <f>($L159+SUM($W159:AB159))*(U$11*U159)</f>
        <v>0</v>
      </c>
      <c r="AD159" s="63">
        <f>($L159+SUM($W159:AC159))*(V$11*V159)</f>
        <v>0</v>
      </c>
      <c r="AE159" s="110">
        <f t="shared" si="166"/>
        <v>2.344429417701815</v>
      </c>
    </row>
    <row r="160" spans="1:31" ht="12.75">
      <c r="A160" s="3">
        <v>9</v>
      </c>
      <c r="B160" s="15">
        <f t="shared" si="100"/>
        <v>42614</v>
      </c>
      <c r="C160" s="243">
        <f t="shared" si="147"/>
        <v>42648</v>
      </c>
      <c r="D160" s="243">
        <f t="shared" si="147"/>
        <v>42663</v>
      </c>
      <c r="E160" s="30" t="s">
        <v>141</v>
      </c>
      <c r="F160" s="3">
        <v>9</v>
      </c>
      <c r="G160" s="362">
        <v>1</v>
      </c>
      <c r="H160" s="246">
        <f t="shared" si="169"/>
        <v>1623.7</v>
      </c>
      <c r="I160" s="246">
        <f aca="true" t="shared" si="170" ref="I160:I191">$J$3</f>
        <v>1652.23</v>
      </c>
      <c r="J160" s="56">
        <f t="shared" si="101"/>
        <v>1652.23</v>
      </c>
      <c r="K160" s="74">
        <f t="shared" si="149"/>
        <v>1623.7</v>
      </c>
      <c r="L160" s="77">
        <f t="shared" si="167"/>
        <v>28.529999999999973</v>
      </c>
      <c r="M160" s="75">
        <f t="shared" si="151"/>
        <v>0.7005111123156496</v>
      </c>
      <c r="N160" s="76">
        <f t="shared" si="168"/>
        <v>29.23051111231562</v>
      </c>
      <c r="O160" s="16">
        <f t="shared" si="159"/>
        <v>0</v>
      </c>
      <c r="P160" s="16">
        <f t="shared" si="160"/>
        <v>0</v>
      </c>
      <c r="Q160" s="16">
        <f t="shared" si="161"/>
        <v>0</v>
      </c>
      <c r="R160" s="16">
        <f t="shared" si="162"/>
        <v>73</v>
      </c>
      <c r="S160" s="16">
        <f t="shared" si="163"/>
        <v>90</v>
      </c>
      <c r="T160" s="16">
        <f t="shared" si="163"/>
        <v>91</v>
      </c>
      <c r="U160" s="16">
        <f t="shared" si="163"/>
        <v>0</v>
      </c>
      <c r="V160" s="106">
        <f t="shared" si="164"/>
        <v>0</v>
      </c>
      <c r="W160" s="141">
        <f t="shared" si="165"/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0.19970999999999983</v>
      </c>
      <c r="AA160" s="63">
        <f>($L160+SUM($W160:Z160))*(S$11*S160)</f>
        <v>0.2479413328767121</v>
      </c>
      <c r="AB160" s="63">
        <f>($L160+SUM($W160:AA160))*(T$11*T160)</f>
        <v>0.25285977943893767</v>
      </c>
      <c r="AC160" s="63">
        <f>($L160+SUM($W160:AB160))*(U$11*U160)</f>
        <v>0</v>
      </c>
      <c r="AD160" s="63">
        <f>($L160+SUM($W160:AC160))*(V$11*V160)</f>
        <v>0</v>
      </c>
      <c r="AE160" s="110">
        <f t="shared" si="166"/>
        <v>0.7005111123156496</v>
      </c>
    </row>
    <row r="161" spans="1:31" ht="12.75">
      <c r="A161" s="16">
        <v>10</v>
      </c>
      <c r="B161" s="15">
        <f aca="true" t="shared" si="171" ref="B161:B223">DATE($N$1,A161,1)</f>
        <v>42644</v>
      </c>
      <c r="C161" s="243">
        <f t="shared" si="147"/>
        <v>42677</v>
      </c>
      <c r="D161" s="243">
        <f t="shared" si="147"/>
        <v>42692</v>
      </c>
      <c r="E161" s="30" t="s">
        <v>141</v>
      </c>
      <c r="F161" s="3">
        <v>9</v>
      </c>
      <c r="G161" s="362">
        <v>1</v>
      </c>
      <c r="H161" s="246">
        <f t="shared" si="169"/>
        <v>1623.7</v>
      </c>
      <c r="I161" s="246">
        <f t="shared" si="170"/>
        <v>1652.23</v>
      </c>
      <c r="J161" s="56">
        <f aca="true" t="shared" si="172" ref="J161:J223">+$G161*I161</f>
        <v>1652.23</v>
      </c>
      <c r="K161" s="74">
        <f t="shared" si="149"/>
        <v>1623.7</v>
      </c>
      <c r="L161" s="77">
        <f t="shared" si="167"/>
        <v>28.529999999999973</v>
      </c>
      <c r="M161" s="75">
        <f t="shared" si="151"/>
        <v>0.6197913049970161</v>
      </c>
      <c r="N161" s="76">
        <f t="shared" si="168"/>
        <v>29.149791304996988</v>
      </c>
      <c r="O161" s="16">
        <f t="shared" si="159"/>
        <v>0</v>
      </c>
      <c r="P161" s="16">
        <f t="shared" si="160"/>
        <v>0</v>
      </c>
      <c r="Q161" s="16">
        <f t="shared" si="161"/>
        <v>0</v>
      </c>
      <c r="R161" s="16">
        <f t="shared" si="162"/>
        <v>44</v>
      </c>
      <c r="S161" s="16">
        <f t="shared" si="163"/>
        <v>90</v>
      </c>
      <c r="T161" s="16">
        <f t="shared" si="163"/>
        <v>91</v>
      </c>
      <c r="U161" s="16">
        <f t="shared" si="163"/>
        <v>0</v>
      </c>
      <c r="V161" s="106">
        <f t="shared" si="164"/>
        <v>0</v>
      </c>
      <c r="W161" s="141">
        <f t="shared" si="165"/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0.12037315068493142</v>
      </c>
      <c r="AA161" s="63">
        <f>($L161+SUM($W161:Z161))*(S$11*S161)</f>
        <v>0.2472566449990615</v>
      </c>
      <c r="AB161" s="63">
        <f>($L161+SUM($W161:AA161))*(T$11*T161)</f>
        <v>0.2521615093130231</v>
      </c>
      <c r="AC161" s="63">
        <f>($L161+SUM($W161:AB161))*(U$11*U161)</f>
        <v>0</v>
      </c>
      <c r="AD161" s="63">
        <f>($L161+SUM($W161:AC161))*(V$11*V161)</f>
        <v>0</v>
      </c>
      <c r="AE161" s="110">
        <f t="shared" si="166"/>
        <v>0.6197913049970161</v>
      </c>
    </row>
    <row r="162" spans="1:31" ht="12.75">
      <c r="A162" s="3">
        <v>11</v>
      </c>
      <c r="B162" s="15">
        <f t="shared" si="171"/>
        <v>42675</v>
      </c>
      <c r="C162" s="243">
        <f t="shared" si="147"/>
        <v>42709</v>
      </c>
      <c r="D162" s="243">
        <f t="shared" si="147"/>
        <v>42724</v>
      </c>
      <c r="E162" s="30" t="s">
        <v>141</v>
      </c>
      <c r="F162" s="3">
        <v>9</v>
      </c>
      <c r="G162" s="362">
        <v>1</v>
      </c>
      <c r="H162" s="246">
        <f t="shared" si="169"/>
        <v>1623.7</v>
      </c>
      <c r="I162" s="246">
        <f t="shared" si="170"/>
        <v>1652.23</v>
      </c>
      <c r="J162" s="56">
        <f t="shared" si="172"/>
        <v>1652.23</v>
      </c>
      <c r="K162" s="74">
        <f t="shared" si="149"/>
        <v>1623.7</v>
      </c>
      <c r="L162" s="77">
        <f t="shared" si="167"/>
        <v>28.529999999999973</v>
      </c>
      <c r="M162" s="75">
        <f t="shared" si="151"/>
        <v>0.5307211727833514</v>
      </c>
      <c r="N162" s="76">
        <f t="shared" si="168"/>
        <v>29.060721172783325</v>
      </c>
      <c r="O162" s="16">
        <f t="shared" si="154"/>
        <v>0</v>
      </c>
      <c r="P162" s="16">
        <f t="shared" si="155"/>
        <v>0</v>
      </c>
      <c r="Q162" s="16">
        <f t="shared" si="156"/>
        <v>0</v>
      </c>
      <c r="R162" s="16">
        <f t="shared" si="157"/>
        <v>12</v>
      </c>
      <c r="S162" s="16">
        <f aca="true" t="shared" si="173" ref="S162:U166">IF($D162&lt;S$8,S$12,IF($D162&lt;T$8,T$8-$D162,0))</f>
        <v>90</v>
      </c>
      <c r="T162" s="16">
        <f t="shared" si="173"/>
        <v>91</v>
      </c>
      <c r="U162" s="16">
        <f t="shared" si="173"/>
        <v>0</v>
      </c>
      <c r="V162" s="106">
        <f t="shared" si="143"/>
        <v>0</v>
      </c>
      <c r="W162" s="141">
        <f t="shared" si="144"/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0.03282904109589038</v>
      </c>
      <c r="AA162" s="63">
        <f>($L162+SUM($W162:Z162))*(S$11*S162)</f>
        <v>0.24650112734096433</v>
      </c>
      <c r="AB162" s="63">
        <f>($L162+SUM($W162:AA162))*(T$11*T162)</f>
        <v>0.2513910043464967</v>
      </c>
      <c r="AC162" s="63">
        <f>($L162+SUM($W162:AB162))*(U$11*U162)</f>
        <v>0</v>
      </c>
      <c r="AD162" s="63">
        <f>($L162+SUM($W162:AC162))*(V$11*V162)</f>
        <v>0</v>
      </c>
      <c r="AE162" s="110">
        <f aca="true" t="shared" si="174" ref="AE162:AE175">SUM(W162:AD162)</f>
        <v>0.5307211727833514</v>
      </c>
    </row>
    <row r="163" spans="1:31" s="69" customFormat="1" ht="12.75">
      <c r="A163" s="3">
        <v>12</v>
      </c>
      <c r="B163" s="83">
        <f t="shared" si="171"/>
        <v>42705</v>
      </c>
      <c r="C163" s="243">
        <f t="shared" si="147"/>
        <v>42740</v>
      </c>
      <c r="D163" s="243">
        <f t="shared" si="147"/>
        <v>42755</v>
      </c>
      <c r="E163" s="84" t="s">
        <v>141</v>
      </c>
      <c r="F163" s="81">
        <v>9</v>
      </c>
      <c r="G163" s="363">
        <v>2</v>
      </c>
      <c r="H163" s="247">
        <f t="shared" si="169"/>
        <v>1623.7</v>
      </c>
      <c r="I163" s="247">
        <f t="shared" si="170"/>
        <v>1652.23</v>
      </c>
      <c r="J163" s="85">
        <f t="shared" si="172"/>
        <v>3304.46</v>
      </c>
      <c r="K163" s="86">
        <f t="shared" si="149"/>
        <v>3247.4</v>
      </c>
      <c r="L163" s="87">
        <f t="shared" si="167"/>
        <v>57.059999999999945</v>
      </c>
      <c r="M163" s="88">
        <f t="shared" si="151"/>
        <v>0.8897739704147112</v>
      </c>
      <c r="N163" s="89">
        <f t="shared" si="168"/>
        <v>57.949773970414654</v>
      </c>
      <c r="O163" s="81">
        <f t="shared" si="154"/>
        <v>0</v>
      </c>
      <c r="P163" s="81">
        <f t="shared" si="155"/>
        <v>0</v>
      </c>
      <c r="Q163" s="81">
        <f t="shared" si="156"/>
        <v>0</v>
      </c>
      <c r="R163" s="81">
        <f t="shared" si="157"/>
        <v>0</v>
      </c>
      <c r="S163" s="81">
        <f t="shared" si="173"/>
        <v>71</v>
      </c>
      <c r="T163" s="81">
        <f t="shared" si="173"/>
        <v>91</v>
      </c>
      <c r="U163" s="81">
        <f t="shared" si="173"/>
        <v>0</v>
      </c>
      <c r="V163" s="107">
        <f t="shared" si="143"/>
        <v>0</v>
      </c>
      <c r="W163" s="142">
        <f t="shared" si="144"/>
        <v>0</v>
      </c>
      <c r="X163" s="90">
        <f>($L163+SUM($W163:W163))*(P$11*P163)</f>
        <v>0</v>
      </c>
      <c r="Y163" s="90">
        <f>($L163+SUM($W163:X163))*(Q$11*Q163)</f>
        <v>0</v>
      </c>
      <c r="Z163" s="90">
        <f>($L163+SUM($W163:Y163))*(R$11*R163)</f>
        <v>0</v>
      </c>
      <c r="AA163" s="90">
        <f>($L163+SUM($W163:Z163))*(S$11*S163)</f>
        <v>0.3884769863013695</v>
      </c>
      <c r="AB163" s="90">
        <f>($L163+SUM($W163:AA163))*(T$11*T163)</f>
        <v>0.5012969841133417</v>
      </c>
      <c r="AC163" s="90">
        <f>($L163+SUM($W163:AB163))*(U$11*U163)</f>
        <v>0</v>
      </c>
      <c r="AD163" s="90">
        <f>($L163+SUM($W163:AC163))*(V$11*V163)</f>
        <v>0</v>
      </c>
      <c r="AE163" s="111">
        <f t="shared" si="174"/>
        <v>0.8897739704147112</v>
      </c>
    </row>
    <row r="164" spans="1:31" ht="12.75">
      <c r="A164" s="16">
        <v>1</v>
      </c>
      <c r="B164" s="15">
        <f t="shared" si="171"/>
        <v>42370</v>
      </c>
      <c r="C164" s="242">
        <f aca="true" t="shared" si="175" ref="C164:D183">+C152</f>
        <v>42403</v>
      </c>
      <c r="D164" s="242">
        <f t="shared" si="175"/>
        <v>42418</v>
      </c>
      <c r="E164" s="117" t="s">
        <v>221</v>
      </c>
      <c r="F164" s="16">
        <v>9</v>
      </c>
      <c r="G164" s="362">
        <v>104</v>
      </c>
      <c r="H164" s="246">
        <f aca="true" t="shared" si="176" ref="H164:H169">$K$3</f>
        <v>1566.72</v>
      </c>
      <c r="I164" s="246">
        <f t="shared" si="170"/>
        <v>1652.23</v>
      </c>
      <c r="J164" s="56">
        <f t="shared" si="172"/>
        <v>171831.92</v>
      </c>
      <c r="K164" s="57">
        <f t="shared" si="149"/>
        <v>162938.88</v>
      </c>
      <c r="L164" s="58">
        <f t="shared" si="167"/>
        <v>8893.040000000008</v>
      </c>
      <c r="M164" s="55">
        <f t="shared" si="151"/>
        <v>430.28404525880006</v>
      </c>
      <c r="N164" s="29">
        <f t="shared" si="168"/>
        <v>9323.324045258809</v>
      </c>
      <c r="O164" s="16">
        <f t="shared" si="154"/>
        <v>43</v>
      </c>
      <c r="P164" s="16">
        <f t="shared" si="155"/>
        <v>91</v>
      </c>
      <c r="Q164" s="16">
        <f t="shared" si="156"/>
        <v>92</v>
      </c>
      <c r="R164" s="16">
        <f t="shared" si="157"/>
        <v>92</v>
      </c>
      <c r="S164" s="16">
        <f t="shared" si="173"/>
        <v>90</v>
      </c>
      <c r="T164" s="16">
        <f t="shared" si="173"/>
        <v>91</v>
      </c>
      <c r="U164" s="16">
        <f t="shared" si="173"/>
        <v>0</v>
      </c>
      <c r="V164" s="106">
        <f aca="true" t="shared" si="177" ref="V164:V171">IF(W$8&lt;V$8,0,IF($D164&lt;V$8,V$12,IF($D164&lt;W$8,W$8-$D164,0)))</f>
        <v>0</v>
      </c>
      <c r="W164" s="141">
        <f aca="true" t="shared" si="178" ref="W164:W171">$L164*O$11*O164</f>
        <v>34.04937917808222</v>
      </c>
      <c r="X164" s="63">
        <f>($L164+SUM($W164:W164))*(P$11*P164)</f>
        <v>76.9335747438264</v>
      </c>
      <c r="Y164" s="63">
        <f>($L164+SUM($W164:X164))*(Q$11*Q164)</f>
        <v>79.43275044281802</v>
      </c>
      <c r="Z164" s="63">
        <f>($L164+SUM($W164:Y164))*(R$11*R164)</f>
        <v>80.13349963850534</v>
      </c>
      <c r="AA164" s="63">
        <f>($L164+SUM($W164:Z164))*(S$11*S164)</f>
        <v>79.08303011674029</v>
      </c>
      <c r="AB164" s="63">
        <f>($L164+SUM($W164:AA164))*(T$11*T164)</f>
        <v>80.65181113882777</v>
      </c>
      <c r="AC164" s="63">
        <f>($L164+SUM($W164:AB164))*(U$11*U164)</f>
        <v>0</v>
      </c>
      <c r="AD164" s="63">
        <f>($L164+SUM($W164:AC164))*(V$11*V164)</f>
        <v>0</v>
      </c>
      <c r="AE164" s="110">
        <f t="shared" si="174"/>
        <v>430.28404525880006</v>
      </c>
    </row>
    <row r="165" spans="1:31" ht="12.75">
      <c r="A165" s="3">
        <v>2</v>
      </c>
      <c r="B165" s="15">
        <f t="shared" si="171"/>
        <v>42401</v>
      </c>
      <c r="C165" s="243">
        <f t="shared" si="175"/>
        <v>42432</v>
      </c>
      <c r="D165" s="243">
        <f t="shared" si="175"/>
        <v>42447</v>
      </c>
      <c r="E165" s="148" t="s">
        <v>221</v>
      </c>
      <c r="F165" s="3">
        <v>9</v>
      </c>
      <c r="G165" s="362">
        <v>92</v>
      </c>
      <c r="H165" s="246">
        <f t="shared" si="176"/>
        <v>1566.72</v>
      </c>
      <c r="I165" s="246">
        <f t="shared" si="170"/>
        <v>1652.23</v>
      </c>
      <c r="J165" s="56">
        <f t="shared" si="172"/>
        <v>152005.16</v>
      </c>
      <c r="K165" s="57">
        <f t="shared" si="149"/>
        <v>144138.24</v>
      </c>
      <c r="L165" s="58">
        <f t="shared" si="167"/>
        <v>7866.920000000013</v>
      </c>
      <c r="M165" s="55">
        <f t="shared" si="151"/>
        <v>359.42034453766973</v>
      </c>
      <c r="N165" s="29">
        <f t="shared" si="168"/>
        <v>8226.340344537683</v>
      </c>
      <c r="O165" s="16">
        <f t="shared" si="154"/>
        <v>14</v>
      </c>
      <c r="P165" s="16">
        <f t="shared" si="155"/>
        <v>91</v>
      </c>
      <c r="Q165" s="16">
        <f t="shared" si="156"/>
        <v>92</v>
      </c>
      <c r="R165" s="16">
        <f t="shared" si="157"/>
        <v>92</v>
      </c>
      <c r="S165" s="16">
        <f t="shared" si="173"/>
        <v>90</v>
      </c>
      <c r="T165" s="16">
        <f t="shared" si="173"/>
        <v>91</v>
      </c>
      <c r="U165" s="16">
        <f t="shared" si="173"/>
        <v>0</v>
      </c>
      <c r="V165" s="106">
        <f t="shared" si="177"/>
        <v>0</v>
      </c>
      <c r="W165" s="141">
        <f t="shared" si="178"/>
        <v>9.806708493150701</v>
      </c>
      <c r="X165" s="63">
        <f>($L165+SUM($W165:W165))*(P$11*P165)</f>
        <v>67.88155884021684</v>
      </c>
      <c r="Y165" s="63">
        <f>($L165+SUM($W165:X165))*(Q$11*Q165)</f>
        <v>70.08668115291367</v>
      </c>
      <c r="Z165" s="63">
        <f>($L165+SUM($W165:Y165))*(R$11*R165)</f>
        <v>70.70498009349554</v>
      </c>
      <c r="AA165" s="63">
        <f>($L165+SUM($W165:Z165))*(S$11*S165)</f>
        <v>69.7781089726749</v>
      </c>
      <c r="AB165" s="63">
        <f>($L165+SUM($W165:AA165))*(T$11*T165)</f>
        <v>71.16230698521808</v>
      </c>
      <c r="AC165" s="63">
        <f>($L165+SUM($W165:AB165))*(U$11*U165)</f>
        <v>0</v>
      </c>
      <c r="AD165" s="63">
        <f>($L165+SUM($W165:AC165))*(V$11*V165)</f>
        <v>0</v>
      </c>
      <c r="AE165" s="110">
        <f t="shared" si="174"/>
        <v>359.42034453766973</v>
      </c>
    </row>
    <row r="166" spans="1:31" ht="12.75">
      <c r="A166" s="3">
        <v>3</v>
      </c>
      <c r="B166" s="15">
        <f t="shared" si="171"/>
        <v>42430</v>
      </c>
      <c r="C166" s="243">
        <f t="shared" si="175"/>
        <v>42465</v>
      </c>
      <c r="D166" s="243">
        <f t="shared" si="175"/>
        <v>42480</v>
      </c>
      <c r="E166" s="148" t="s">
        <v>221</v>
      </c>
      <c r="F166" s="3">
        <v>9</v>
      </c>
      <c r="G166" s="362">
        <v>86</v>
      </c>
      <c r="H166" s="246">
        <f t="shared" si="176"/>
        <v>1566.72</v>
      </c>
      <c r="I166" s="246">
        <f t="shared" si="170"/>
        <v>1652.23</v>
      </c>
      <c r="J166" s="56">
        <f t="shared" si="172"/>
        <v>142091.78</v>
      </c>
      <c r="K166" s="57">
        <f t="shared" si="149"/>
        <v>134737.92</v>
      </c>
      <c r="L166" s="58">
        <f>+J166-K166</f>
        <v>7353.859999999986</v>
      </c>
      <c r="M166" s="55">
        <f t="shared" si="151"/>
        <v>312.7043677710958</v>
      </c>
      <c r="N166" s="29">
        <f>SUM(L166:M166)</f>
        <v>7666.564367771081</v>
      </c>
      <c r="O166" s="16">
        <f t="shared" si="154"/>
        <v>0</v>
      </c>
      <c r="P166" s="16">
        <f t="shared" si="155"/>
        <v>72</v>
      </c>
      <c r="Q166" s="16">
        <f t="shared" si="156"/>
        <v>92</v>
      </c>
      <c r="R166" s="16">
        <f t="shared" si="157"/>
        <v>92</v>
      </c>
      <c r="S166" s="16">
        <f t="shared" si="173"/>
        <v>90</v>
      </c>
      <c r="T166" s="16">
        <f t="shared" si="173"/>
        <v>91</v>
      </c>
      <c r="U166" s="16">
        <f t="shared" si="173"/>
        <v>0</v>
      </c>
      <c r="V166" s="106">
        <f>IF(W$8&lt;V$8,0,IF($D166&lt;V$8,V$12,IF($D166&lt;W$8,W$8-$D166,0)))</f>
        <v>0</v>
      </c>
      <c r="W166" s="141">
        <f>$L166*O$11*O166</f>
        <v>0</v>
      </c>
      <c r="X166" s="63">
        <f>($L166+SUM($W166:W166))*(P$11*P166)</f>
        <v>50.143251419177986</v>
      </c>
      <c r="Y166" s="63">
        <f>($L166+SUM($W166:X166))*(Q$11*Q166)</f>
        <v>65.31750813580743</v>
      </c>
      <c r="Z166" s="63">
        <f>($L166+SUM($W166:Y166))*(R$11*R166)</f>
        <v>65.89373382401921</v>
      </c>
      <c r="AA166" s="63">
        <f>($L166+SUM($W166:Z166))*(S$11*S166)</f>
        <v>65.02993329902417</v>
      </c>
      <c r="AB166" s="63">
        <f>($L166+SUM($W166:AA166))*(T$11*T166)</f>
        <v>66.31994109306706</v>
      </c>
      <c r="AC166" s="63">
        <f>($L166+SUM($W166:AB166))*(U$11*U166)</f>
        <v>0</v>
      </c>
      <c r="AD166" s="63">
        <f>($L166+SUM($W166:AC166))*(V$11*V166)</f>
        <v>0</v>
      </c>
      <c r="AE166" s="110">
        <f t="shared" si="174"/>
        <v>312.7043677710958</v>
      </c>
    </row>
    <row r="167" spans="1:31" ht="12.75">
      <c r="A167" s="16">
        <v>4</v>
      </c>
      <c r="B167" s="15">
        <f t="shared" si="171"/>
        <v>42461</v>
      </c>
      <c r="C167" s="243">
        <f t="shared" si="175"/>
        <v>42494</v>
      </c>
      <c r="D167" s="243">
        <f t="shared" si="175"/>
        <v>42509</v>
      </c>
      <c r="E167" s="148" t="s">
        <v>221</v>
      </c>
      <c r="F167" s="3">
        <v>9</v>
      </c>
      <c r="G167" s="362">
        <v>93</v>
      </c>
      <c r="H167" s="246">
        <f t="shared" si="176"/>
        <v>1566.72</v>
      </c>
      <c r="I167" s="246">
        <f t="shared" si="170"/>
        <v>1652.23</v>
      </c>
      <c r="J167" s="56">
        <f t="shared" si="172"/>
        <v>153657.39</v>
      </c>
      <c r="K167" s="57">
        <f t="shared" si="149"/>
        <v>145704.96</v>
      </c>
      <c r="L167" s="58">
        <f aca="true" t="shared" si="179" ref="L167:L177">+J167-K167</f>
        <v>7952.430000000022</v>
      </c>
      <c r="M167" s="55">
        <f t="shared" si="151"/>
        <v>315.5420445184417</v>
      </c>
      <c r="N167" s="29">
        <f aca="true" t="shared" si="180" ref="N167:N177">SUM(L167:M167)</f>
        <v>8267.972044518463</v>
      </c>
      <c r="O167" s="16">
        <f aca="true" t="shared" si="181" ref="O167:U171">IF($D167&lt;O$8,O$12,IF($D167&lt;P$8,P$8-$D167,0))</f>
        <v>0</v>
      </c>
      <c r="P167" s="16">
        <f t="shared" si="181"/>
        <v>43</v>
      </c>
      <c r="Q167" s="16">
        <f t="shared" si="181"/>
        <v>92</v>
      </c>
      <c r="R167" s="16">
        <f t="shared" si="181"/>
        <v>92</v>
      </c>
      <c r="S167" s="16">
        <f t="shared" si="181"/>
        <v>90</v>
      </c>
      <c r="T167" s="16">
        <f t="shared" si="181"/>
        <v>91</v>
      </c>
      <c r="U167" s="16">
        <f t="shared" si="181"/>
        <v>0</v>
      </c>
      <c r="V167" s="106">
        <f t="shared" si="177"/>
        <v>0</v>
      </c>
      <c r="W167" s="141">
        <f t="shared" si="178"/>
        <v>0</v>
      </c>
      <c r="X167" s="63">
        <f>($L167+SUM($W167:W167))*(P$11*P167)</f>
        <v>32.38418320821927</v>
      </c>
      <c r="Y167" s="63">
        <f>($L167+SUM($W167:X167))*(Q$11*Q167)</f>
        <v>70.44137443816587</v>
      </c>
      <c r="Z167" s="63">
        <f>($L167+SUM($W167:Y167))*(R$11*R167)</f>
        <v>71.06280245375736</v>
      </c>
      <c r="AA167" s="63">
        <f>($L167+SUM($W167:Z167))*(S$11*S167)</f>
        <v>70.13124064196033</v>
      </c>
      <c r="AB167" s="63">
        <f>($L167+SUM($W167:AA167))*(T$11*T167)</f>
        <v>71.52244377633882</v>
      </c>
      <c r="AC167" s="63">
        <f>($L167+SUM($W167:AB167))*(U$11*U167)</f>
        <v>0</v>
      </c>
      <c r="AD167" s="63">
        <f>($L167+SUM($W167:AC167))*(V$11*V167)</f>
        <v>0</v>
      </c>
      <c r="AE167" s="110">
        <f t="shared" si="174"/>
        <v>315.5420445184417</v>
      </c>
    </row>
    <row r="168" spans="1:31" ht="12.75">
      <c r="A168" s="3">
        <v>5</v>
      </c>
      <c r="B168" s="15">
        <f t="shared" si="171"/>
        <v>42491</v>
      </c>
      <c r="C168" s="243">
        <f t="shared" si="175"/>
        <v>42524</v>
      </c>
      <c r="D168" s="243">
        <f t="shared" si="175"/>
        <v>42541</v>
      </c>
      <c r="E168" s="148" t="s">
        <v>221</v>
      </c>
      <c r="F168" s="3">
        <v>9</v>
      </c>
      <c r="G168" s="362">
        <v>106</v>
      </c>
      <c r="H168" s="246">
        <f t="shared" si="176"/>
        <v>1566.72</v>
      </c>
      <c r="I168" s="246">
        <f t="shared" si="170"/>
        <v>1652.23</v>
      </c>
      <c r="J168" s="56">
        <f t="shared" si="172"/>
        <v>175136.38</v>
      </c>
      <c r="K168" s="57">
        <f t="shared" si="149"/>
        <v>166072.32</v>
      </c>
      <c r="L168" s="58">
        <f t="shared" si="179"/>
        <v>9064.059999999998</v>
      </c>
      <c r="M168" s="55">
        <f t="shared" si="151"/>
        <v>331.2073229860803</v>
      </c>
      <c r="N168" s="29">
        <f t="shared" si="180"/>
        <v>9395.267322986077</v>
      </c>
      <c r="O168" s="16">
        <f t="shared" si="181"/>
        <v>0</v>
      </c>
      <c r="P168" s="16">
        <f t="shared" si="181"/>
        <v>11</v>
      </c>
      <c r="Q168" s="16">
        <f t="shared" si="181"/>
        <v>92</v>
      </c>
      <c r="R168" s="16">
        <f t="shared" si="181"/>
        <v>92</v>
      </c>
      <c r="S168" s="16">
        <f t="shared" si="181"/>
        <v>90</v>
      </c>
      <c r="T168" s="16">
        <f t="shared" si="181"/>
        <v>91</v>
      </c>
      <c r="U168" s="16">
        <f t="shared" si="181"/>
        <v>0</v>
      </c>
      <c r="V168" s="106">
        <f t="shared" si="177"/>
        <v>0</v>
      </c>
      <c r="W168" s="141">
        <f t="shared" si="178"/>
        <v>0</v>
      </c>
      <c r="X168" s="63">
        <f>($L168+SUM($W168:W168))*(P$11*P168)</f>
        <v>9.442349992694062</v>
      </c>
      <c r="Y168" s="63">
        <f>($L168+SUM($W168:X168))*(Q$11*Q168)</f>
        <v>80.0456919643191</v>
      </c>
      <c r="Z168" s="63">
        <f>($L168+SUM($W168:Y168))*(R$11*R168)</f>
        <v>80.75184847973036</v>
      </c>
      <c r="AA168" s="63">
        <f>($L168+SUM($W168:Z168))*(S$11*S168)</f>
        <v>79.69327302705682</v>
      </c>
      <c r="AB168" s="63">
        <f>($L168+SUM($W168:AA168))*(T$11*T168)</f>
        <v>81.27415952227999</v>
      </c>
      <c r="AC168" s="63">
        <f>($L168+SUM($W168:AB168))*(U$11*U168)</f>
        <v>0</v>
      </c>
      <c r="AD168" s="63">
        <f>($L168+SUM($W168:AC168))*(V$11*V168)</f>
        <v>0</v>
      </c>
      <c r="AE168" s="110">
        <f t="shared" si="174"/>
        <v>331.2073229860803</v>
      </c>
    </row>
    <row r="169" spans="1:31" ht="12.75">
      <c r="A169" s="3">
        <v>6</v>
      </c>
      <c r="B169" s="15">
        <f t="shared" si="171"/>
        <v>42522</v>
      </c>
      <c r="C169" s="243">
        <f t="shared" si="175"/>
        <v>42557</v>
      </c>
      <c r="D169" s="243">
        <f t="shared" si="175"/>
        <v>42572</v>
      </c>
      <c r="E169" s="148" t="s">
        <v>221</v>
      </c>
      <c r="F169" s="3">
        <v>9</v>
      </c>
      <c r="G169" s="362">
        <v>153</v>
      </c>
      <c r="H169" s="246">
        <f t="shared" si="176"/>
        <v>1566.72</v>
      </c>
      <c r="I169" s="246">
        <f t="shared" si="170"/>
        <v>1652.23</v>
      </c>
      <c r="J169" s="56">
        <f t="shared" si="172"/>
        <v>252791.19</v>
      </c>
      <c r="K169" s="57">
        <f t="shared" si="149"/>
        <v>239708.16</v>
      </c>
      <c r="L169" s="77">
        <f t="shared" si="179"/>
        <v>13083.029999999999</v>
      </c>
      <c r="M169" s="78">
        <f t="shared" si="151"/>
        <v>438.197715789427</v>
      </c>
      <c r="N169" s="76">
        <f t="shared" si="180"/>
        <v>13521.227715789426</v>
      </c>
      <c r="O169" s="16">
        <f t="shared" si="181"/>
        <v>0</v>
      </c>
      <c r="P169" s="16">
        <f t="shared" si="181"/>
        <v>0</v>
      </c>
      <c r="Q169" s="16">
        <f t="shared" si="181"/>
        <v>72</v>
      </c>
      <c r="R169" s="16">
        <f t="shared" si="181"/>
        <v>92</v>
      </c>
      <c r="S169" s="16">
        <f t="shared" si="181"/>
        <v>90</v>
      </c>
      <c r="T169" s="16">
        <f t="shared" si="181"/>
        <v>91</v>
      </c>
      <c r="U169" s="16">
        <f t="shared" si="181"/>
        <v>0</v>
      </c>
      <c r="V169" s="106">
        <f t="shared" si="177"/>
        <v>0</v>
      </c>
      <c r="W169" s="141">
        <f t="shared" si="178"/>
        <v>0</v>
      </c>
      <c r="X169" s="63">
        <f>($L169+SUM($W169:W169))*(P$11*P169)</f>
        <v>0</v>
      </c>
      <c r="Y169" s="63">
        <f>($L169+SUM($W169:X169))*(Q$11*Q169)</f>
        <v>90.32667287671232</v>
      </c>
      <c r="Z169" s="63">
        <f>($L169+SUM($W169:Y169))*(R$11*R169)</f>
        <v>116.21426982647401</v>
      </c>
      <c r="AA169" s="63">
        <f>($L169+SUM($W169:Z169))*(S$11*S169)</f>
        <v>114.69081772469873</v>
      </c>
      <c r="AB169" s="63">
        <f>($L169+SUM($W169:AA169))*(T$11*T169)</f>
        <v>116.96595536154194</v>
      </c>
      <c r="AC169" s="63">
        <f>($L169+SUM($W169:AB169))*(U$11*U169)</f>
        <v>0</v>
      </c>
      <c r="AD169" s="63">
        <f>($L169+SUM($W169:AC169))*(V$11*V169)</f>
        <v>0</v>
      </c>
      <c r="AE169" s="110">
        <f t="shared" si="174"/>
        <v>438.197715789427</v>
      </c>
    </row>
    <row r="170" spans="1:31" ht="12.75">
      <c r="A170" s="16">
        <v>7</v>
      </c>
      <c r="B170" s="15">
        <f t="shared" si="171"/>
        <v>42552</v>
      </c>
      <c r="C170" s="243">
        <f t="shared" si="175"/>
        <v>42585</v>
      </c>
      <c r="D170" s="243">
        <f t="shared" si="175"/>
        <v>42600</v>
      </c>
      <c r="E170" s="148" t="s">
        <v>221</v>
      </c>
      <c r="F170" s="3">
        <v>9</v>
      </c>
      <c r="G170" s="362">
        <v>153</v>
      </c>
      <c r="H170" s="246">
        <f aca="true" t="shared" si="182" ref="H170:H175">$K$8</f>
        <v>1623.7</v>
      </c>
      <c r="I170" s="246">
        <f t="shared" si="170"/>
        <v>1652.23</v>
      </c>
      <c r="J170" s="56">
        <f t="shared" si="172"/>
        <v>252791.19</v>
      </c>
      <c r="K170" s="74">
        <f t="shared" si="149"/>
        <v>248426.1</v>
      </c>
      <c r="L170" s="77">
        <f t="shared" si="179"/>
        <v>4365.0899999999965</v>
      </c>
      <c r="M170" s="75">
        <f t="shared" si="151"/>
        <v>134.17310030651558</v>
      </c>
      <c r="N170" s="76">
        <f t="shared" si="180"/>
        <v>4499.263100306512</v>
      </c>
      <c r="O170" s="16">
        <f t="shared" si="181"/>
        <v>0</v>
      </c>
      <c r="P170" s="16">
        <f t="shared" si="181"/>
        <v>0</v>
      </c>
      <c r="Q170" s="16">
        <f t="shared" si="181"/>
        <v>44</v>
      </c>
      <c r="R170" s="16">
        <f t="shared" si="181"/>
        <v>92</v>
      </c>
      <c r="S170" s="16">
        <f t="shared" si="181"/>
        <v>90</v>
      </c>
      <c r="T170" s="16">
        <f t="shared" si="181"/>
        <v>91</v>
      </c>
      <c r="U170" s="16">
        <f t="shared" si="181"/>
        <v>0</v>
      </c>
      <c r="V170" s="106">
        <f t="shared" si="177"/>
        <v>0</v>
      </c>
      <c r="W170" s="141">
        <f t="shared" si="178"/>
        <v>0</v>
      </c>
      <c r="X170" s="63">
        <f>($L170+SUM($W170:W170))*(P$11*P170)</f>
        <v>0</v>
      </c>
      <c r="Y170" s="63">
        <f>($L170+SUM($W170:X170))*(Q$11*Q170)</f>
        <v>18.41709205479451</v>
      </c>
      <c r="Z170" s="63">
        <f>($L170+SUM($W170:Y170))*(R$11*R170)</f>
        <v>38.670939277853236</v>
      </c>
      <c r="AA170" s="63">
        <f>($L170+SUM($W170:Z170))*(S$11*S170)</f>
        <v>38.16400218821324</v>
      </c>
      <c r="AB170" s="63">
        <f>($L170+SUM($W170:AA170))*(T$11*T170)</f>
        <v>38.92106678565461</v>
      </c>
      <c r="AC170" s="63">
        <f>($L170+SUM($W170:AB170))*(U$11*U170)</f>
        <v>0</v>
      </c>
      <c r="AD170" s="63">
        <f>($L170+SUM($W170:AC170))*(V$11*V170)</f>
        <v>0</v>
      </c>
      <c r="AE170" s="110">
        <f t="shared" si="174"/>
        <v>134.17310030651558</v>
      </c>
    </row>
    <row r="171" spans="1:34" ht="12.75">
      <c r="A171" s="3">
        <v>8</v>
      </c>
      <c r="B171" s="15">
        <f t="shared" si="171"/>
        <v>42583</v>
      </c>
      <c r="C171" s="243">
        <f t="shared" si="175"/>
        <v>42619</v>
      </c>
      <c r="D171" s="243">
        <f t="shared" si="175"/>
        <v>42634</v>
      </c>
      <c r="E171" s="148" t="s">
        <v>221</v>
      </c>
      <c r="F171" s="16">
        <v>9</v>
      </c>
      <c r="G171" s="362">
        <v>155</v>
      </c>
      <c r="H171" s="246">
        <f t="shared" si="182"/>
        <v>1623.7</v>
      </c>
      <c r="I171" s="246">
        <f t="shared" si="170"/>
        <v>1652.23</v>
      </c>
      <c r="J171" s="56">
        <f t="shared" si="172"/>
        <v>256095.65</v>
      </c>
      <c r="K171" s="74">
        <f t="shared" si="149"/>
        <v>251673.5</v>
      </c>
      <c r="L171" s="77">
        <f t="shared" si="179"/>
        <v>4422.149999999994</v>
      </c>
      <c r="M171" s="75">
        <f t="shared" si="151"/>
        <v>121.12885324792673</v>
      </c>
      <c r="N171" s="76">
        <f t="shared" si="180"/>
        <v>4543.278853247921</v>
      </c>
      <c r="O171" s="16">
        <f t="shared" si="181"/>
        <v>0</v>
      </c>
      <c r="P171" s="16">
        <f t="shared" si="181"/>
        <v>0</v>
      </c>
      <c r="Q171" s="16">
        <f t="shared" si="181"/>
        <v>10</v>
      </c>
      <c r="R171" s="16">
        <f t="shared" si="181"/>
        <v>92</v>
      </c>
      <c r="S171" s="16">
        <f t="shared" si="181"/>
        <v>90</v>
      </c>
      <c r="T171" s="16">
        <f t="shared" si="181"/>
        <v>91</v>
      </c>
      <c r="U171" s="16">
        <f t="shared" si="181"/>
        <v>0</v>
      </c>
      <c r="V171" s="106">
        <f t="shared" si="177"/>
        <v>0</v>
      </c>
      <c r="W171" s="141">
        <f t="shared" si="178"/>
        <v>0</v>
      </c>
      <c r="X171" s="63">
        <f>($L171+SUM($W171:W171))*(P$11*P171)</f>
        <v>0</v>
      </c>
      <c r="Y171" s="63">
        <f>($L171+SUM($W171:X171))*(Q$11*Q171)</f>
        <v>4.240417808219173</v>
      </c>
      <c r="Z171" s="63">
        <f>($L171+SUM($W171:Y171))*(R$11*R171)</f>
        <v>39.04925245299301</v>
      </c>
      <c r="AA171" s="63">
        <f>($L171+SUM($W171:Z171))*(S$11*S171)</f>
        <v>38.53735605841864</v>
      </c>
      <c r="AB171" s="63">
        <f>($L171+SUM($W171:AA171))*(T$11*T171)</f>
        <v>39.30182692829591</v>
      </c>
      <c r="AC171" s="63">
        <f>($L171+SUM($W171:AB171))*(U$11*U171)</f>
        <v>0</v>
      </c>
      <c r="AD171" s="63">
        <f>($L171+SUM($W171:AC171))*(V$11*V171)</f>
        <v>0</v>
      </c>
      <c r="AE171" s="110">
        <f t="shared" si="174"/>
        <v>121.12885324792673</v>
      </c>
      <c r="AF171" s="13"/>
      <c r="AG171" s="13"/>
      <c r="AH171" s="13"/>
    </row>
    <row r="172" spans="1:31" ht="12.75">
      <c r="A172" s="3">
        <v>9</v>
      </c>
      <c r="B172" s="15">
        <f t="shared" si="171"/>
        <v>42614</v>
      </c>
      <c r="C172" s="243">
        <f t="shared" si="175"/>
        <v>42648</v>
      </c>
      <c r="D172" s="243">
        <f t="shared" si="175"/>
        <v>42663</v>
      </c>
      <c r="E172" s="148" t="s">
        <v>221</v>
      </c>
      <c r="F172" s="16">
        <v>9</v>
      </c>
      <c r="G172" s="362">
        <v>138</v>
      </c>
      <c r="H172" s="246">
        <f t="shared" si="182"/>
        <v>1623.7</v>
      </c>
      <c r="I172" s="246">
        <f t="shared" si="170"/>
        <v>1652.23</v>
      </c>
      <c r="J172" s="56">
        <f t="shared" si="172"/>
        <v>228007.74</v>
      </c>
      <c r="K172" s="74">
        <f t="shared" si="149"/>
        <v>224070.6</v>
      </c>
      <c r="L172" s="77">
        <f t="shared" si="179"/>
        <v>3937.139999999985</v>
      </c>
      <c r="M172" s="75">
        <f t="shared" si="151"/>
        <v>96.67053349955937</v>
      </c>
      <c r="N172" s="76">
        <f t="shared" si="180"/>
        <v>4033.8105334995444</v>
      </c>
      <c r="O172" s="16">
        <f aca="true" t="shared" si="183" ref="O172:U183">IF($D172&lt;O$8,O$12,IF($D172&lt;P$8,P$8-$D172,0))</f>
        <v>0</v>
      </c>
      <c r="P172" s="16">
        <f t="shared" si="183"/>
        <v>0</v>
      </c>
      <c r="Q172" s="16">
        <f t="shared" si="183"/>
        <v>0</v>
      </c>
      <c r="R172" s="16">
        <f t="shared" si="183"/>
        <v>73</v>
      </c>
      <c r="S172" s="16">
        <f t="shared" si="183"/>
        <v>90</v>
      </c>
      <c r="T172" s="16">
        <f t="shared" si="183"/>
        <v>91</v>
      </c>
      <c r="U172" s="16">
        <f t="shared" si="183"/>
        <v>0</v>
      </c>
      <c r="V172" s="106">
        <f>IF(W$8&lt;V$8,0,IF($D172&lt;V$8,V$12,IF($D172&lt;W$8,W$8-$D172,0)))</f>
        <v>0</v>
      </c>
      <c r="W172" s="141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27.559979999999896</v>
      </c>
      <c r="AA172" s="63">
        <f>($L172+SUM($W172:Z172))*(S$11*S172)</f>
        <v>34.21590393698617</v>
      </c>
      <c r="AB172" s="63">
        <f>($L172+SUM($W172:AA172))*(T$11*T172)</f>
        <v>34.8946495625733</v>
      </c>
      <c r="AC172" s="63">
        <f>($L172+SUM($W172:AB172))*(U$11*U172)</f>
        <v>0</v>
      </c>
      <c r="AD172" s="63">
        <f>($L172+SUM($W172:AC172))*(V$11*V172)</f>
        <v>0</v>
      </c>
      <c r="AE172" s="110">
        <f t="shared" si="174"/>
        <v>96.67053349955937</v>
      </c>
    </row>
    <row r="173" spans="1:31" ht="12.75">
      <c r="A173" s="16">
        <v>10</v>
      </c>
      <c r="B173" s="15">
        <f t="shared" si="171"/>
        <v>42644</v>
      </c>
      <c r="C173" s="243">
        <f t="shared" si="175"/>
        <v>42677</v>
      </c>
      <c r="D173" s="243">
        <f t="shared" si="175"/>
        <v>42692</v>
      </c>
      <c r="E173" s="148" t="s">
        <v>221</v>
      </c>
      <c r="F173" s="16">
        <v>9</v>
      </c>
      <c r="G173" s="362">
        <v>116</v>
      </c>
      <c r="H173" s="246">
        <f t="shared" si="182"/>
        <v>1623.7</v>
      </c>
      <c r="I173" s="246">
        <f t="shared" si="170"/>
        <v>1652.23</v>
      </c>
      <c r="J173" s="56">
        <f t="shared" si="172"/>
        <v>191658.68</v>
      </c>
      <c r="K173" s="74">
        <f t="shared" si="149"/>
        <v>188349.2</v>
      </c>
      <c r="L173" s="77">
        <f t="shared" si="179"/>
        <v>3309.4799999999814</v>
      </c>
      <c r="M173" s="75">
        <f t="shared" si="151"/>
        <v>71.89579137965353</v>
      </c>
      <c r="N173" s="76">
        <f t="shared" si="180"/>
        <v>3381.375791379635</v>
      </c>
      <c r="O173" s="16">
        <f t="shared" si="183"/>
        <v>0</v>
      </c>
      <c r="P173" s="16">
        <f t="shared" si="183"/>
        <v>0</v>
      </c>
      <c r="Q173" s="16">
        <f t="shared" si="183"/>
        <v>0</v>
      </c>
      <c r="R173" s="16">
        <f t="shared" si="183"/>
        <v>44</v>
      </c>
      <c r="S173" s="16">
        <f t="shared" si="183"/>
        <v>90</v>
      </c>
      <c r="T173" s="16">
        <f t="shared" si="183"/>
        <v>91</v>
      </c>
      <c r="U173" s="16">
        <f t="shared" si="183"/>
        <v>0</v>
      </c>
      <c r="V173" s="106">
        <f>IF(W$8&lt;V$8,0,IF($D173&lt;V$8,V$12,IF($D173&lt;W$8,W$8-$D173,0)))</f>
        <v>0</v>
      </c>
      <c r="W173" s="141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13.96328547945198</v>
      </c>
      <c r="AA173" s="63">
        <f>($L173+SUM($W173:Z173))*(S$11*S173)</f>
        <v>28.681770819891</v>
      </c>
      <c r="AB173" s="63">
        <f>($L173+SUM($W173:AA173))*(T$11*T173)</f>
        <v>29.250735080310545</v>
      </c>
      <c r="AC173" s="63">
        <f>($L173+SUM($W173:AB173))*(U$11*U173)</f>
        <v>0</v>
      </c>
      <c r="AD173" s="63">
        <f>($L173+SUM($W173:AC173))*(V$11*V173)</f>
        <v>0</v>
      </c>
      <c r="AE173" s="110">
        <f t="shared" si="174"/>
        <v>71.89579137965353</v>
      </c>
    </row>
    <row r="174" spans="1:31" ht="12.75">
      <c r="A174" s="3">
        <v>11</v>
      </c>
      <c r="B174" s="15">
        <f t="shared" si="171"/>
        <v>42675</v>
      </c>
      <c r="C174" s="243">
        <f t="shared" si="175"/>
        <v>42709</v>
      </c>
      <c r="D174" s="243">
        <f t="shared" si="175"/>
        <v>42724</v>
      </c>
      <c r="E174" s="148" t="s">
        <v>221</v>
      </c>
      <c r="F174" s="16">
        <v>9</v>
      </c>
      <c r="G174" s="362">
        <v>99</v>
      </c>
      <c r="H174" s="246">
        <f t="shared" si="182"/>
        <v>1623.7</v>
      </c>
      <c r="I174" s="246">
        <f t="shared" si="170"/>
        <v>1652.23</v>
      </c>
      <c r="J174" s="56">
        <f t="shared" si="172"/>
        <v>163570.77</v>
      </c>
      <c r="K174" s="74">
        <f t="shared" si="149"/>
        <v>160746.30000000002</v>
      </c>
      <c r="L174" s="77">
        <f t="shared" si="179"/>
        <v>2824.469999999972</v>
      </c>
      <c r="M174" s="75">
        <f t="shared" si="151"/>
        <v>52.541396105551314</v>
      </c>
      <c r="N174" s="76">
        <f t="shared" si="180"/>
        <v>2877.0113961055235</v>
      </c>
      <c r="O174" s="16">
        <f t="shared" si="183"/>
        <v>0</v>
      </c>
      <c r="P174" s="16">
        <f t="shared" si="183"/>
        <v>0</v>
      </c>
      <c r="Q174" s="16">
        <f t="shared" si="183"/>
        <v>0</v>
      </c>
      <c r="R174" s="16">
        <f t="shared" si="183"/>
        <v>12</v>
      </c>
      <c r="S174" s="16">
        <f t="shared" si="183"/>
        <v>90</v>
      </c>
      <c r="T174" s="16">
        <f t="shared" si="183"/>
        <v>91</v>
      </c>
      <c r="U174" s="16">
        <f t="shared" si="183"/>
        <v>0</v>
      </c>
      <c r="V174" s="106">
        <f>IF(W$8&lt;V$8,0,IF($D174&lt;V$8,V$12,IF($D174&lt;W$8,W$8-$D174,0)))</f>
        <v>0</v>
      </c>
      <c r="W174" s="141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3.250075068493119</v>
      </c>
      <c r="AA174" s="63">
        <f>($L174+SUM($W174:Z174))*(S$11*S174)</f>
        <v>24.40361160675525</v>
      </c>
      <c r="AB174" s="63">
        <f>($L174+SUM($W174:AA174))*(T$11*T174)</f>
        <v>24.88770943030295</v>
      </c>
      <c r="AC174" s="63">
        <f>($L174+SUM($W174:AB174))*(U$11*U174)</f>
        <v>0</v>
      </c>
      <c r="AD174" s="63">
        <f>($L174+SUM($W174:AC174))*(V$11*V174)</f>
        <v>0</v>
      </c>
      <c r="AE174" s="110">
        <f t="shared" si="174"/>
        <v>52.541396105551314</v>
      </c>
    </row>
    <row r="175" spans="1:31" s="69" customFormat="1" ht="12.75">
      <c r="A175" s="3">
        <v>12</v>
      </c>
      <c r="B175" s="83">
        <f t="shared" si="171"/>
        <v>42705</v>
      </c>
      <c r="C175" s="243">
        <f t="shared" si="175"/>
        <v>42740</v>
      </c>
      <c r="D175" s="243">
        <f t="shared" si="175"/>
        <v>42755</v>
      </c>
      <c r="E175" s="149" t="s">
        <v>221</v>
      </c>
      <c r="F175" s="81">
        <v>9</v>
      </c>
      <c r="G175" s="363">
        <v>113</v>
      </c>
      <c r="H175" s="247">
        <f t="shared" si="182"/>
        <v>1623.7</v>
      </c>
      <c r="I175" s="247">
        <f t="shared" si="170"/>
        <v>1652.23</v>
      </c>
      <c r="J175" s="85">
        <f t="shared" si="172"/>
        <v>186701.99</v>
      </c>
      <c r="K175" s="86">
        <f t="shared" si="149"/>
        <v>183478.1</v>
      </c>
      <c r="L175" s="87">
        <f t="shared" si="179"/>
        <v>3223.889999999985</v>
      </c>
      <c r="M175" s="88">
        <f t="shared" si="151"/>
        <v>50.272229328430996</v>
      </c>
      <c r="N175" s="89">
        <f t="shared" si="180"/>
        <v>3274.162229328416</v>
      </c>
      <c r="O175" s="81">
        <f t="shared" si="183"/>
        <v>0</v>
      </c>
      <c r="P175" s="81">
        <f t="shared" si="183"/>
        <v>0</v>
      </c>
      <c r="Q175" s="81">
        <f t="shared" si="183"/>
        <v>0</v>
      </c>
      <c r="R175" s="81">
        <f t="shared" si="183"/>
        <v>0</v>
      </c>
      <c r="S175" s="81">
        <f t="shared" si="183"/>
        <v>71</v>
      </c>
      <c r="T175" s="81">
        <f t="shared" si="183"/>
        <v>91</v>
      </c>
      <c r="U175" s="81">
        <f t="shared" si="183"/>
        <v>0</v>
      </c>
      <c r="V175" s="107">
        <f>IF(W$8&lt;V$8,0,IF($D175&lt;V$8,V$12,IF($D175&lt;W$8,W$8-$D175,0)))</f>
        <v>0</v>
      </c>
      <c r="W175" s="142">
        <f>$L175*O$11*O175</f>
        <v>0</v>
      </c>
      <c r="X175" s="90">
        <f>($L175+SUM($W175:W175))*(P$11*P175)</f>
        <v>0</v>
      </c>
      <c r="Y175" s="90">
        <f>($L175+SUM($W175:X175))*(Q$11*Q175)</f>
        <v>0</v>
      </c>
      <c r="Z175" s="90">
        <f>($L175+SUM($W175:Y175))*(R$11*R175)</f>
        <v>0</v>
      </c>
      <c r="AA175" s="90">
        <f>($L175+SUM($W175:Z175))*(S$11*S175)</f>
        <v>21.948949726027294</v>
      </c>
      <c r="AB175" s="90">
        <f>($L175+SUM($W175:AA175))*(T$11*T175)</f>
        <v>28.323279602403698</v>
      </c>
      <c r="AC175" s="90">
        <f>($L175+SUM($W175:AB175))*(U$11*U175)</f>
        <v>0</v>
      </c>
      <c r="AD175" s="90">
        <f>($L175+SUM($W175:AC175))*(V$11*V175)</f>
        <v>0</v>
      </c>
      <c r="AE175" s="111">
        <f t="shared" si="174"/>
        <v>50.272229328430996</v>
      </c>
    </row>
    <row r="176" spans="1:31" ht="12.75">
      <c r="A176" s="16">
        <v>1</v>
      </c>
      <c r="B176" s="15">
        <f t="shared" si="171"/>
        <v>42370</v>
      </c>
      <c r="C176" s="242">
        <f t="shared" si="175"/>
        <v>42403</v>
      </c>
      <c r="D176" s="242">
        <f t="shared" si="175"/>
        <v>42418</v>
      </c>
      <c r="E176" s="117" t="s">
        <v>222</v>
      </c>
      <c r="F176" s="16">
        <v>9</v>
      </c>
      <c r="G176" s="362">
        <v>14</v>
      </c>
      <c r="H176" s="246">
        <f aca="true" t="shared" si="184" ref="H176:H181">$K$3</f>
        <v>1566.72</v>
      </c>
      <c r="I176" s="246">
        <f t="shared" si="170"/>
        <v>1652.23</v>
      </c>
      <c r="J176" s="56">
        <f t="shared" si="172"/>
        <v>23131.22</v>
      </c>
      <c r="K176" s="57">
        <f t="shared" si="149"/>
        <v>21934.08</v>
      </c>
      <c r="L176" s="58">
        <f t="shared" si="179"/>
        <v>1197.1399999999994</v>
      </c>
      <c r="M176" s="55">
        <f t="shared" si="151"/>
        <v>57.92285224637684</v>
      </c>
      <c r="N176" s="29">
        <f t="shared" si="180"/>
        <v>1255.0628522463762</v>
      </c>
      <c r="O176" s="16">
        <f t="shared" si="183"/>
        <v>43</v>
      </c>
      <c r="P176" s="16">
        <f t="shared" si="183"/>
        <v>91</v>
      </c>
      <c r="Q176" s="16">
        <f t="shared" si="183"/>
        <v>92</v>
      </c>
      <c r="R176" s="16">
        <f t="shared" si="183"/>
        <v>92</v>
      </c>
      <c r="S176" s="16">
        <f t="shared" si="183"/>
        <v>90</v>
      </c>
      <c r="T176" s="16">
        <f t="shared" si="183"/>
        <v>91</v>
      </c>
      <c r="U176" s="16">
        <f t="shared" si="183"/>
        <v>0</v>
      </c>
      <c r="V176" s="106">
        <f aca="true" t="shared" si="185" ref="V176:V183">IF(W$8&lt;V$8,0,IF($D176&lt;V$8,V$12,IF($D176&lt;W$8,W$8-$D176,0)))</f>
        <v>0</v>
      </c>
      <c r="W176" s="141">
        <f aca="true" t="shared" si="186" ref="W176:W183">$L176*O$11*O176</f>
        <v>4.5835702739726</v>
      </c>
      <c r="X176" s="63">
        <f>($L176+SUM($W176:W176))*(P$11*P176)</f>
        <v>10.356442753976614</v>
      </c>
      <c r="Y176" s="63">
        <f>($L176+SUM($W176:X176))*(Q$11*Q176)</f>
        <v>10.692870251917794</v>
      </c>
      <c r="Z176" s="63">
        <f>($L176+SUM($W176:Y176))*(R$11*R176)</f>
        <v>10.787201874414166</v>
      </c>
      <c r="AA176" s="63">
        <f>($L176+SUM($W176:Z176))*(S$11*S176)</f>
        <v>10.645792515715025</v>
      </c>
      <c r="AB176" s="63">
        <f>($L176+SUM($W176:AA176))*(T$11*T176)</f>
        <v>10.856974576380646</v>
      </c>
      <c r="AC176" s="63">
        <f>($L176+SUM($W176:AB176))*(U$11*U176)</f>
        <v>0</v>
      </c>
      <c r="AD176" s="63">
        <f>($L176+SUM($W176:AC176))*(V$11*V176)</f>
        <v>0</v>
      </c>
      <c r="AE176" s="110">
        <f aca="true" t="shared" si="187" ref="AE176:AE187">SUM(W176:AD176)</f>
        <v>57.92285224637684</v>
      </c>
    </row>
    <row r="177" spans="1:31" ht="12.75">
      <c r="A177" s="3">
        <v>2</v>
      </c>
      <c r="B177" s="15">
        <f t="shared" si="171"/>
        <v>42401</v>
      </c>
      <c r="C177" s="243">
        <f t="shared" si="175"/>
        <v>42432</v>
      </c>
      <c r="D177" s="243">
        <f t="shared" si="175"/>
        <v>42447</v>
      </c>
      <c r="E177" s="148" t="s">
        <v>222</v>
      </c>
      <c r="F177" s="3">
        <v>9</v>
      </c>
      <c r="G177" s="362">
        <v>11</v>
      </c>
      <c r="H177" s="246">
        <f t="shared" si="184"/>
        <v>1566.72</v>
      </c>
      <c r="I177" s="246">
        <f t="shared" si="170"/>
        <v>1652.23</v>
      </c>
      <c r="J177" s="56">
        <f t="shared" si="172"/>
        <v>18174.53</v>
      </c>
      <c r="K177" s="57">
        <f t="shared" si="149"/>
        <v>17233.920000000002</v>
      </c>
      <c r="L177" s="58">
        <f t="shared" si="179"/>
        <v>940.609999999997</v>
      </c>
      <c r="M177" s="55">
        <f t="shared" si="151"/>
        <v>42.97417162950378</v>
      </c>
      <c r="N177" s="29">
        <f t="shared" si="180"/>
        <v>983.5841716295007</v>
      </c>
      <c r="O177" s="16">
        <f t="shared" si="183"/>
        <v>14</v>
      </c>
      <c r="P177" s="16">
        <f t="shared" si="183"/>
        <v>91</v>
      </c>
      <c r="Q177" s="16">
        <f t="shared" si="183"/>
        <v>92</v>
      </c>
      <c r="R177" s="16">
        <f t="shared" si="183"/>
        <v>92</v>
      </c>
      <c r="S177" s="16">
        <f t="shared" si="183"/>
        <v>90</v>
      </c>
      <c r="T177" s="16">
        <f t="shared" si="183"/>
        <v>91</v>
      </c>
      <c r="U177" s="16">
        <f t="shared" si="183"/>
        <v>0</v>
      </c>
      <c r="V177" s="106">
        <f t="shared" si="185"/>
        <v>0</v>
      </c>
      <c r="W177" s="141">
        <f t="shared" si="186"/>
        <v>1.1725412328767086</v>
      </c>
      <c r="X177" s="63">
        <f>($L177+SUM($W177:W177))*(P$11*P177)</f>
        <v>8.116273339591105</v>
      </c>
      <c r="Y177" s="63">
        <f>($L177+SUM($W177:X177))*(Q$11*Q177)</f>
        <v>8.379929268283115</v>
      </c>
      <c r="Z177" s="63">
        <f>($L177+SUM($W177:Y177))*(R$11*R177)</f>
        <v>8.453856315526599</v>
      </c>
      <c r="AA177" s="63">
        <f>($L177+SUM($W177:Z177))*(S$11*S177)</f>
        <v>8.343034768471957</v>
      </c>
      <c r="AB177" s="63">
        <f>($L177+SUM($W177:AA177))*(T$11*T177)</f>
        <v>8.508536704754293</v>
      </c>
      <c r="AC177" s="63">
        <f>($L177+SUM($W177:AB177))*(U$11*U177)</f>
        <v>0</v>
      </c>
      <c r="AD177" s="63">
        <f>($L177+SUM($W177:AC177))*(V$11*V177)</f>
        <v>0</v>
      </c>
      <c r="AE177" s="110">
        <f t="shared" si="187"/>
        <v>42.97417162950378</v>
      </c>
    </row>
    <row r="178" spans="1:31" ht="12.75">
      <c r="A178" s="3">
        <v>3</v>
      </c>
      <c r="B178" s="15">
        <f t="shared" si="171"/>
        <v>42430</v>
      </c>
      <c r="C178" s="243">
        <f t="shared" si="175"/>
        <v>42465</v>
      </c>
      <c r="D178" s="243">
        <f t="shared" si="175"/>
        <v>42480</v>
      </c>
      <c r="E178" s="148" t="s">
        <v>222</v>
      </c>
      <c r="F178" s="3">
        <v>9</v>
      </c>
      <c r="G178" s="362">
        <v>10</v>
      </c>
      <c r="H178" s="246">
        <f t="shared" si="184"/>
        <v>1566.72</v>
      </c>
      <c r="I178" s="246">
        <f t="shared" si="170"/>
        <v>1652.23</v>
      </c>
      <c r="J178" s="56">
        <f t="shared" si="172"/>
        <v>16522.3</v>
      </c>
      <c r="K178" s="57">
        <f t="shared" si="149"/>
        <v>15667.2</v>
      </c>
      <c r="L178" s="58">
        <f>+J178-K178</f>
        <v>855.0999999999985</v>
      </c>
      <c r="M178" s="55">
        <f t="shared" si="151"/>
        <v>36.36097299663906</v>
      </c>
      <c r="N178" s="29">
        <f>SUM(L178:M178)</f>
        <v>891.4609729966376</v>
      </c>
      <c r="O178" s="16">
        <f t="shared" si="183"/>
        <v>0</v>
      </c>
      <c r="P178" s="16">
        <f t="shared" si="183"/>
        <v>72</v>
      </c>
      <c r="Q178" s="16">
        <f t="shared" si="183"/>
        <v>92</v>
      </c>
      <c r="R178" s="16">
        <f t="shared" si="183"/>
        <v>92</v>
      </c>
      <c r="S178" s="16">
        <f t="shared" si="183"/>
        <v>90</v>
      </c>
      <c r="T178" s="16">
        <f t="shared" si="183"/>
        <v>91</v>
      </c>
      <c r="U178" s="16">
        <f t="shared" si="183"/>
        <v>0</v>
      </c>
      <c r="V178" s="106">
        <f t="shared" si="185"/>
        <v>0</v>
      </c>
      <c r="W178" s="141">
        <f t="shared" si="186"/>
        <v>0</v>
      </c>
      <c r="X178" s="63">
        <f>($L178+SUM($W178:W178))*(P$11*P178)</f>
        <v>5.8306106301369764</v>
      </c>
      <c r="Y178" s="63">
        <f>($L178+SUM($W178:X178))*(Q$11*Q178)</f>
        <v>7.595059085559005</v>
      </c>
      <c r="Z178" s="63">
        <f>($L178+SUM($W178:Y178))*(R$11*R178)</f>
        <v>7.662062072560375</v>
      </c>
      <c r="AA178" s="63">
        <f>($L178+SUM($W178:Z178))*(S$11*S178)</f>
        <v>7.561620151049324</v>
      </c>
      <c r="AB178" s="63">
        <f>($L178+SUM($W178:AA178))*(T$11*T178)</f>
        <v>7.711621057333381</v>
      </c>
      <c r="AC178" s="63">
        <f>($L178+SUM($W178:AB178))*(U$11*U178)</f>
        <v>0</v>
      </c>
      <c r="AD178" s="63">
        <f>($L178+SUM($W178:AC178))*(V$11*V178)</f>
        <v>0</v>
      </c>
      <c r="AE178" s="110">
        <f t="shared" si="187"/>
        <v>36.36097299663906</v>
      </c>
    </row>
    <row r="179" spans="1:31" ht="12.75">
      <c r="A179" s="16">
        <v>4</v>
      </c>
      <c r="B179" s="15">
        <f t="shared" si="171"/>
        <v>42461</v>
      </c>
      <c r="C179" s="243">
        <f t="shared" si="175"/>
        <v>42494</v>
      </c>
      <c r="D179" s="243">
        <f t="shared" si="175"/>
        <v>42509</v>
      </c>
      <c r="E179" s="148" t="s">
        <v>222</v>
      </c>
      <c r="F179" s="3">
        <v>9</v>
      </c>
      <c r="G179" s="362">
        <v>11</v>
      </c>
      <c r="H179" s="246">
        <f t="shared" si="184"/>
        <v>1566.72</v>
      </c>
      <c r="I179" s="246">
        <f t="shared" si="170"/>
        <v>1652.23</v>
      </c>
      <c r="J179" s="56">
        <f t="shared" si="172"/>
        <v>18174.53</v>
      </c>
      <c r="K179" s="57">
        <f t="shared" si="149"/>
        <v>17233.920000000002</v>
      </c>
      <c r="L179" s="58">
        <f aca="true" t="shared" si="188" ref="L179:L189">+J179-K179</f>
        <v>940.609999999997</v>
      </c>
      <c r="M179" s="55">
        <f t="shared" si="151"/>
        <v>37.32217730863266</v>
      </c>
      <c r="N179" s="29">
        <f aca="true" t="shared" si="189" ref="N179:N189">SUM(L179:M179)</f>
        <v>977.9321773086297</v>
      </c>
      <c r="O179" s="16">
        <f t="shared" si="183"/>
        <v>0</v>
      </c>
      <c r="P179" s="16">
        <f t="shared" si="183"/>
        <v>43</v>
      </c>
      <c r="Q179" s="16">
        <f t="shared" si="183"/>
        <v>92</v>
      </c>
      <c r="R179" s="16">
        <f t="shared" si="183"/>
        <v>92</v>
      </c>
      <c r="S179" s="16">
        <f t="shared" si="183"/>
        <v>90</v>
      </c>
      <c r="T179" s="16">
        <f t="shared" si="183"/>
        <v>91</v>
      </c>
      <c r="U179" s="16">
        <f t="shared" si="183"/>
        <v>0</v>
      </c>
      <c r="V179" s="106">
        <f t="shared" si="185"/>
        <v>0</v>
      </c>
      <c r="W179" s="141">
        <f t="shared" si="186"/>
        <v>0</v>
      </c>
      <c r="X179" s="63">
        <f>($L179+SUM($W179:W179))*(P$11*P179)</f>
        <v>3.830387261187202</v>
      </c>
      <c r="Y179" s="63">
        <f>($L179+SUM($W179:X179))*(Q$11*Q179)</f>
        <v>8.331775471180858</v>
      </c>
      <c r="Z179" s="63">
        <f>($L179+SUM($W179:Y179))*(R$11*R179)</f>
        <v>8.405277709584153</v>
      </c>
      <c r="AA179" s="63">
        <f>($L179+SUM($W179:Z179))*(S$11*S179)</f>
        <v>8.295092979156548</v>
      </c>
      <c r="AB179" s="63">
        <f>($L179+SUM($W179:AA179))*(T$11*T179)</f>
        <v>8.459643887523896</v>
      </c>
      <c r="AC179" s="63">
        <f>($L179+SUM($W179:AB179))*(U$11*U179)</f>
        <v>0</v>
      </c>
      <c r="AD179" s="63">
        <f>($L179+SUM($W179:AC179))*(V$11*V179)</f>
        <v>0</v>
      </c>
      <c r="AE179" s="110">
        <f t="shared" si="187"/>
        <v>37.32217730863266</v>
      </c>
    </row>
    <row r="180" spans="1:31" ht="12.75">
      <c r="A180" s="3">
        <v>5</v>
      </c>
      <c r="B180" s="15">
        <f t="shared" si="171"/>
        <v>42491</v>
      </c>
      <c r="C180" s="243">
        <f t="shared" si="175"/>
        <v>42524</v>
      </c>
      <c r="D180" s="243">
        <f t="shared" si="175"/>
        <v>42541</v>
      </c>
      <c r="E180" s="148" t="s">
        <v>222</v>
      </c>
      <c r="F180" s="3">
        <v>9</v>
      </c>
      <c r="G180" s="362">
        <v>11</v>
      </c>
      <c r="H180" s="246">
        <f t="shared" si="184"/>
        <v>1566.72</v>
      </c>
      <c r="I180" s="246">
        <f t="shared" si="170"/>
        <v>1652.23</v>
      </c>
      <c r="J180" s="56">
        <f t="shared" si="172"/>
        <v>18174.53</v>
      </c>
      <c r="K180" s="57">
        <f t="shared" si="149"/>
        <v>17233.920000000002</v>
      </c>
      <c r="L180" s="58">
        <f t="shared" si="188"/>
        <v>940.609999999997</v>
      </c>
      <c r="M180" s="55">
        <f t="shared" si="151"/>
        <v>34.37057125327239</v>
      </c>
      <c r="N180" s="29">
        <f t="shared" si="189"/>
        <v>974.9805712532693</v>
      </c>
      <c r="O180" s="16">
        <f t="shared" si="183"/>
        <v>0</v>
      </c>
      <c r="P180" s="16">
        <f t="shared" si="183"/>
        <v>11</v>
      </c>
      <c r="Q180" s="16">
        <f t="shared" si="183"/>
        <v>92</v>
      </c>
      <c r="R180" s="16">
        <f t="shared" si="183"/>
        <v>92</v>
      </c>
      <c r="S180" s="16">
        <f t="shared" si="183"/>
        <v>90</v>
      </c>
      <c r="T180" s="16">
        <f t="shared" si="183"/>
        <v>91</v>
      </c>
      <c r="U180" s="16">
        <f t="shared" si="183"/>
        <v>0</v>
      </c>
      <c r="V180" s="106">
        <f t="shared" si="185"/>
        <v>0</v>
      </c>
      <c r="W180" s="141">
        <f t="shared" si="186"/>
        <v>0</v>
      </c>
      <c r="X180" s="63">
        <f>($L180+SUM($W180:W180))*(P$11*P180)</f>
        <v>0.9798665086757959</v>
      </c>
      <c r="Y180" s="63">
        <f>($L180+SUM($W180:X180))*(Q$11*Q180)</f>
        <v>8.30662841139158</v>
      </c>
      <c r="Z180" s="63">
        <f>($L180+SUM($W180:Y180))*(R$11*R180)</f>
        <v>8.379908804500294</v>
      </c>
      <c r="AA180" s="63">
        <f>($L180+SUM($W180:Z180))*(S$11*S180)</f>
        <v>8.270056634883229</v>
      </c>
      <c r="AB180" s="63">
        <f>($L180+SUM($W180:AA180))*(T$11*T180)</f>
        <v>8.434110893821483</v>
      </c>
      <c r="AC180" s="63">
        <f>($L180+SUM($W180:AB180))*(U$11*U180)</f>
        <v>0</v>
      </c>
      <c r="AD180" s="63">
        <f>($L180+SUM($W180:AC180))*(V$11*V180)</f>
        <v>0</v>
      </c>
      <c r="AE180" s="110">
        <f t="shared" si="187"/>
        <v>34.37057125327239</v>
      </c>
    </row>
    <row r="181" spans="1:31" ht="12.75">
      <c r="A181" s="3">
        <v>6</v>
      </c>
      <c r="B181" s="15">
        <f t="shared" si="171"/>
        <v>42522</v>
      </c>
      <c r="C181" s="243">
        <f t="shared" si="175"/>
        <v>42557</v>
      </c>
      <c r="D181" s="243">
        <f t="shared" si="175"/>
        <v>42572</v>
      </c>
      <c r="E181" s="148" t="s">
        <v>222</v>
      </c>
      <c r="F181" s="3">
        <v>9</v>
      </c>
      <c r="G181" s="362">
        <v>13</v>
      </c>
      <c r="H181" s="246">
        <f t="shared" si="184"/>
        <v>1566.72</v>
      </c>
      <c r="I181" s="246">
        <f t="shared" si="170"/>
        <v>1652.23</v>
      </c>
      <c r="J181" s="56">
        <f t="shared" si="172"/>
        <v>21478.99</v>
      </c>
      <c r="K181" s="57">
        <f t="shared" si="149"/>
        <v>20367.36</v>
      </c>
      <c r="L181" s="77">
        <f t="shared" si="188"/>
        <v>1111.630000000001</v>
      </c>
      <c r="M181" s="78">
        <f t="shared" si="151"/>
        <v>37.23248565531083</v>
      </c>
      <c r="N181" s="76">
        <f t="shared" si="189"/>
        <v>1148.862485655312</v>
      </c>
      <c r="O181" s="16">
        <f t="shared" si="183"/>
        <v>0</v>
      </c>
      <c r="P181" s="16">
        <f t="shared" si="183"/>
        <v>0</v>
      </c>
      <c r="Q181" s="16">
        <f t="shared" si="183"/>
        <v>72</v>
      </c>
      <c r="R181" s="16">
        <f t="shared" si="183"/>
        <v>92</v>
      </c>
      <c r="S181" s="16">
        <f t="shared" si="183"/>
        <v>90</v>
      </c>
      <c r="T181" s="16">
        <f t="shared" si="183"/>
        <v>91</v>
      </c>
      <c r="U181" s="16">
        <f t="shared" si="183"/>
        <v>0</v>
      </c>
      <c r="V181" s="106">
        <f t="shared" si="185"/>
        <v>0</v>
      </c>
      <c r="W181" s="141">
        <f t="shared" si="186"/>
        <v>0</v>
      </c>
      <c r="X181" s="63">
        <f>($L181+SUM($W181:W181))*(P$11*P181)</f>
        <v>0</v>
      </c>
      <c r="Y181" s="63">
        <f>($L181+SUM($W181:X181))*(Q$11*Q181)</f>
        <v>7.674815342465761</v>
      </c>
      <c r="Z181" s="63">
        <f>($L181+SUM($W181:Y181))*(R$11*R181)</f>
        <v>9.874415083295188</v>
      </c>
      <c r="AA181" s="63">
        <f>($L181+SUM($W181:Z181))*(S$11*S181)</f>
        <v>9.744971440660686</v>
      </c>
      <c r="AB181" s="63">
        <f>($L181+SUM($W181:AA181))*(T$11*T181)</f>
        <v>9.938283788889196</v>
      </c>
      <c r="AC181" s="63">
        <f>($L181+SUM($W181:AB181))*(U$11*U181)</f>
        <v>0</v>
      </c>
      <c r="AD181" s="63">
        <f>($L181+SUM($W181:AC181))*(V$11*V181)</f>
        <v>0</v>
      </c>
      <c r="AE181" s="110">
        <f t="shared" si="187"/>
        <v>37.23248565531083</v>
      </c>
    </row>
    <row r="182" spans="1:31" ht="12.75">
      <c r="A182" s="16">
        <v>7</v>
      </c>
      <c r="B182" s="15">
        <f t="shared" si="171"/>
        <v>42552</v>
      </c>
      <c r="C182" s="243">
        <f t="shared" si="175"/>
        <v>42585</v>
      </c>
      <c r="D182" s="243">
        <f t="shared" si="175"/>
        <v>42600</v>
      </c>
      <c r="E182" s="148" t="s">
        <v>222</v>
      </c>
      <c r="F182" s="3">
        <v>9</v>
      </c>
      <c r="G182" s="362">
        <v>15</v>
      </c>
      <c r="H182" s="246">
        <f aca="true" t="shared" si="190" ref="H182:H187">$K$8</f>
        <v>1623.7</v>
      </c>
      <c r="I182" s="246">
        <f t="shared" si="170"/>
        <v>1652.23</v>
      </c>
      <c r="J182" s="56">
        <f t="shared" si="172"/>
        <v>24783.45</v>
      </c>
      <c r="K182" s="74">
        <f t="shared" si="149"/>
        <v>24355.5</v>
      </c>
      <c r="L182" s="77">
        <f t="shared" si="188"/>
        <v>427.9500000000007</v>
      </c>
      <c r="M182" s="75">
        <f t="shared" si="151"/>
        <v>13.154225520246658</v>
      </c>
      <c r="N182" s="76">
        <f t="shared" si="189"/>
        <v>441.1042255202474</v>
      </c>
      <c r="O182" s="16">
        <f t="shared" si="183"/>
        <v>0</v>
      </c>
      <c r="P182" s="16">
        <f t="shared" si="183"/>
        <v>0</v>
      </c>
      <c r="Q182" s="16">
        <f t="shared" si="183"/>
        <v>44</v>
      </c>
      <c r="R182" s="16">
        <f t="shared" si="183"/>
        <v>92</v>
      </c>
      <c r="S182" s="16">
        <f t="shared" si="183"/>
        <v>90</v>
      </c>
      <c r="T182" s="16">
        <f t="shared" si="183"/>
        <v>91</v>
      </c>
      <c r="U182" s="16">
        <f t="shared" si="183"/>
        <v>0</v>
      </c>
      <c r="V182" s="106">
        <f t="shared" si="185"/>
        <v>0</v>
      </c>
      <c r="W182" s="141">
        <f t="shared" si="186"/>
        <v>0</v>
      </c>
      <c r="X182" s="63">
        <f>($L182+SUM($W182:W182))*(P$11*P182)</f>
        <v>0</v>
      </c>
      <c r="Y182" s="63">
        <f>($L182+SUM($W182:X182))*(Q$11*Q182)</f>
        <v>1.805597260273976</v>
      </c>
      <c r="Z182" s="63">
        <f>($L182+SUM($W182:Y182))*(R$11*R182)</f>
        <v>3.791268556652287</v>
      </c>
      <c r="AA182" s="63">
        <f>($L182+SUM($W182:Z182))*(S$11*S182)</f>
        <v>3.741568841981699</v>
      </c>
      <c r="AB182" s="63">
        <f>($L182+SUM($W182:AA182))*(T$11*T182)</f>
        <v>3.815790861338696</v>
      </c>
      <c r="AC182" s="63">
        <f>($L182+SUM($W182:AB182))*(U$11*U182)</f>
        <v>0</v>
      </c>
      <c r="AD182" s="63">
        <f>($L182+SUM($W182:AC182))*(V$11*V182)</f>
        <v>0</v>
      </c>
      <c r="AE182" s="110">
        <f t="shared" si="187"/>
        <v>13.154225520246658</v>
      </c>
    </row>
    <row r="183" spans="1:34" ht="12.75">
      <c r="A183" s="3">
        <v>8</v>
      </c>
      <c r="B183" s="15">
        <f t="shared" si="171"/>
        <v>42583</v>
      </c>
      <c r="C183" s="243">
        <f t="shared" si="175"/>
        <v>42619</v>
      </c>
      <c r="D183" s="243">
        <f t="shared" si="175"/>
        <v>42634</v>
      </c>
      <c r="E183" s="148" t="s">
        <v>222</v>
      </c>
      <c r="F183" s="16">
        <v>9</v>
      </c>
      <c r="G183" s="362">
        <v>14</v>
      </c>
      <c r="H183" s="246">
        <f t="shared" si="190"/>
        <v>1623.7</v>
      </c>
      <c r="I183" s="246">
        <f t="shared" si="170"/>
        <v>1652.23</v>
      </c>
      <c r="J183" s="56">
        <f t="shared" si="172"/>
        <v>23131.22</v>
      </c>
      <c r="K183" s="74">
        <f t="shared" si="149"/>
        <v>22731.8</v>
      </c>
      <c r="L183" s="77">
        <f t="shared" si="188"/>
        <v>399.4200000000019</v>
      </c>
      <c r="M183" s="75">
        <f t="shared" si="151"/>
        <v>10.940670615941835</v>
      </c>
      <c r="N183" s="76">
        <f t="shared" si="189"/>
        <v>410.3606706159437</v>
      </c>
      <c r="O183" s="16">
        <f t="shared" si="183"/>
        <v>0</v>
      </c>
      <c r="P183" s="16">
        <f t="shared" si="183"/>
        <v>0</v>
      </c>
      <c r="Q183" s="16">
        <f t="shared" si="183"/>
        <v>10</v>
      </c>
      <c r="R183" s="16">
        <f t="shared" si="183"/>
        <v>92</v>
      </c>
      <c r="S183" s="16">
        <f t="shared" si="183"/>
        <v>90</v>
      </c>
      <c r="T183" s="16">
        <f t="shared" si="183"/>
        <v>91</v>
      </c>
      <c r="U183" s="16">
        <f t="shared" si="183"/>
        <v>0</v>
      </c>
      <c r="V183" s="106">
        <f t="shared" si="185"/>
        <v>0</v>
      </c>
      <c r="W183" s="141">
        <f t="shared" si="186"/>
        <v>0</v>
      </c>
      <c r="X183" s="63">
        <f>($L183+SUM($W183:W183))*(P$11*P183)</f>
        <v>0</v>
      </c>
      <c r="Y183" s="63">
        <f>($L183+SUM($W183:X183))*(Q$11*Q183)</f>
        <v>0.38300547945205665</v>
      </c>
      <c r="Z183" s="63">
        <f>($L183+SUM($W183:Y183))*(R$11*R183)</f>
        <v>3.527029253818745</v>
      </c>
      <c r="AA183" s="63">
        <f>($L183+SUM($W183:Z183))*(S$11*S183)</f>
        <v>3.480793450437833</v>
      </c>
      <c r="AB183" s="63">
        <f>($L183+SUM($W183:AA183))*(T$11*T183)</f>
        <v>3.5498424322332003</v>
      </c>
      <c r="AC183" s="63">
        <f>($L183+SUM($W183:AB183))*(U$11*U183)</f>
        <v>0</v>
      </c>
      <c r="AD183" s="63">
        <f>($L183+SUM($W183:AC183))*(V$11*V183)</f>
        <v>0</v>
      </c>
      <c r="AE183" s="110">
        <f t="shared" si="187"/>
        <v>10.940670615941835</v>
      </c>
      <c r="AF183" s="13"/>
      <c r="AG183" s="13"/>
      <c r="AH183" s="13"/>
    </row>
    <row r="184" spans="1:31" ht="12.75">
      <c r="A184" s="3">
        <v>9</v>
      </c>
      <c r="B184" s="15">
        <f t="shared" si="171"/>
        <v>42614</v>
      </c>
      <c r="C184" s="243">
        <f aca="true" t="shared" si="191" ref="C184:D187">+C172</f>
        <v>42648</v>
      </c>
      <c r="D184" s="243">
        <f t="shared" si="191"/>
        <v>42663</v>
      </c>
      <c r="E184" s="148" t="s">
        <v>222</v>
      </c>
      <c r="F184" s="16">
        <v>9</v>
      </c>
      <c r="G184" s="362">
        <v>13</v>
      </c>
      <c r="H184" s="246">
        <f t="shared" si="190"/>
        <v>1623.7</v>
      </c>
      <c r="I184" s="246">
        <f t="shared" si="170"/>
        <v>1652.23</v>
      </c>
      <c r="J184" s="56">
        <f t="shared" si="172"/>
        <v>21478.99</v>
      </c>
      <c r="K184" s="74">
        <f t="shared" si="149"/>
        <v>21108.100000000002</v>
      </c>
      <c r="L184" s="77">
        <f t="shared" si="188"/>
        <v>370.8899999999994</v>
      </c>
      <c r="M184" s="75">
        <f t="shared" si="151"/>
        <v>9.106644460103439</v>
      </c>
      <c r="N184" s="76">
        <f t="shared" si="189"/>
        <v>379.99664446010286</v>
      </c>
      <c r="O184" s="16">
        <f aca="true" t="shared" si="192" ref="O184:R187">IF($D184&lt;O$8,O$12,IF($D184&lt;P$8,P$8-$D184,0))</f>
        <v>0</v>
      </c>
      <c r="P184" s="16">
        <f t="shared" si="192"/>
        <v>0</v>
      </c>
      <c r="Q184" s="16">
        <f t="shared" si="192"/>
        <v>0</v>
      </c>
      <c r="R184" s="16">
        <f t="shared" si="192"/>
        <v>73</v>
      </c>
      <c r="S184" s="16">
        <f aca="true" t="shared" si="193" ref="S184:U187">IF($D184&lt;S$8,S$12,IF($D184&lt;T$8,T$8-$D184,0))</f>
        <v>90</v>
      </c>
      <c r="T184" s="16">
        <f t="shared" si="193"/>
        <v>91</v>
      </c>
      <c r="U184" s="16">
        <f t="shared" si="193"/>
        <v>0</v>
      </c>
      <c r="V184" s="106">
        <f>IF(W$8&lt;V$8,0,IF($D184&lt;V$8,V$12,IF($D184&lt;W$8,W$8-$D184,0)))</f>
        <v>0</v>
      </c>
      <c r="W184" s="141">
        <f>$L184*O$11*O184</f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2.5962299999999963</v>
      </c>
      <c r="AA184" s="63">
        <f>($L184+SUM($W184:Z184))*(S$11*S184)</f>
        <v>3.223237327397255</v>
      </c>
      <c r="AB184" s="63">
        <f>($L184+SUM($W184:AA184))*(T$11*T184)</f>
        <v>3.2871771327061876</v>
      </c>
      <c r="AC184" s="63">
        <f>($L184+SUM($W184:AB184))*(U$11*U184)</f>
        <v>0</v>
      </c>
      <c r="AD184" s="63">
        <f>($L184+SUM($W184:AC184))*(V$11*V184)</f>
        <v>0</v>
      </c>
      <c r="AE184" s="110">
        <f t="shared" si="187"/>
        <v>9.106644460103439</v>
      </c>
    </row>
    <row r="185" spans="1:31" ht="12.75">
      <c r="A185" s="16">
        <v>10</v>
      </c>
      <c r="B185" s="15">
        <f t="shared" si="171"/>
        <v>42644</v>
      </c>
      <c r="C185" s="243">
        <f t="shared" si="191"/>
        <v>42677</v>
      </c>
      <c r="D185" s="243">
        <f t="shared" si="191"/>
        <v>42692</v>
      </c>
      <c r="E185" s="148" t="s">
        <v>222</v>
      </c>
      <c r="F185" s="16">
        <v>9</v>
      </c>
      <c r="G185" s="362">
        <v>13</v>
      </c>
      <c r="H185" s="246">
        <f t="shared" si="190"/>
        <v>1623.7</v>
      </c>
      <c r="I185" s="246">
        <f t="shared" si="170"/>
        <v>1652.23</v>
      </c>
      <c r="J185" s="56">
        <f t="shared" si="172"/>
        <v>21478.99</v>
      </c>
      <c r="K185" s="74">
        <f t="shared" si="149"/>
        <v>21108.100000000002</v>
      </c>
      <c r="L185" s="77">
        <f t="shared" si="188"/>
        <v>370.8899999999994</v>
      </c>
      <c r="M185" s="75">
        <f t="shared" si="151"/>
        <v>8.057286964961204</v>
      </c>
      <c r="N185" s="76">
        <f t="shared" si="189"/>
        <v>378.9472869649606</v>
      </c>
      <c r="O185" s="16">
        <f t="shared" si="192"/>
        <v>0</v>
      </c>
      <c r="P185" s="16">
        <f t="shared" si="192"/>
        <v>0</v>
      </c>
      <c r="Q185" s="16">
        <f t="shared" si="192"/>
        <v>0</v>
      </c>
      <c r="R185" s="16">
        <f t="shared" si="192"/>
        <v>44</v>
      </c>
      <c r="S185" s="16">
        <f t="shared" si="193"/>
        <v>90</v>
      </c>
      <c r="T185" s="16">
        <f t="shared" si="193"/>
        <v>91</v>
      </c>
      <c r="U185" s="16">
        <f t="shared" si="193"/>
        <v>0</v>
      </c>
      <c r="V185" s="106">
        <f>IF(W$8&lt;V$8,0,IF($D185&lt;V$8,V$12,IF($D185&lt;W$8,W$8-$D185,0)))</f>
        <v>0</v>
      </c>
      <c r="W185" s="141">
        <f>$L185*O$11*O185</f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1.5648509589041075</v>
      </c>
      <c r="AA185" s="63">
        <f>($L185+SUM($W185:Z185))*(S$11*S185)</f>
        <v>3.214336384987798</v>
      </c>
      <c r="AB185" s="63">
        <f>($L185+SUM($W185:AA185))*(T$11*T185)</f>
        <v>3.2780996210692983</v>
      </c>
      <c r="AC185" s="63">
        <f>($L185+SUM($W185:AB185))*(U$11*U185)</f>
        <v>0</v>
      </c>
      <c r="AD185" s="63">
        <f>($L185+SUM($W185:AC185))*(V$11*V185)</f>
        <v>0</v>
      </c>
      <c r="AE185" s="110">
        <f t="shared" si="187"/>
        <v>8.057286964961204</v>
      </c>
    </row>
    <row r="186" spans="1:31" ht="12.75">
      <c r="A186" s="3">
        <v>11</v>
      </c>
      <c r="B186" s="15">
        <f t="shared" si="171"/>
        <v>42675</v>
      </c>
      <c r="C186" s="243">
        <f t="shared" si="191"/>
        <v>42709</v>
      </c>
      <c r="D186" s="243">
        <f t="shared" si="191"/>
        <v>42724</v>
      </c>
      <c r="E186" s="148" t="s">
        <v>222</v>
      </c>
      <c r="F186" s="16">
        <v>9</v>
      </c>
      <c r="G186" s="362">
        <v>14</v>
      </c>
      <c r="H186" s="246">
        <f t="shared" si="190"/>
        <v>1623.7</v>
      </c>
      <c r="I186" s="246">
        <f t="shared" si="170"/>
        <v>1652.23</v>
      </c>
      <c r="J186" s="56">
        <f t="shared" si="172"/>
        <v>23131.22</v>
      </c>
      <c r="K186" s="74">
        <f t="shared" si="149"/>
        <v>22731.8</v>
      </c>
      <c r="L186" s="77">
        <f t="shared" si="188"/>
        <v>399.4200000000019</v>
      </c>
      <c r="M186" s="75">
        <f t="shared" si="151"/>
        <v>7.430096418966961</v>
      </c>
      <c r="N186" s="76">
        <f t="shared" si="189"/>
        <v>406.85009641896886</v>
      </c>
      <c r="O186" s="16">
        <f t="shared" si="192"/>
        <v>0</v>
      </c>
      <c r="P186" s="16">
        <f t="shared" si="192"/>
        <v>0</v>
      </c>
      <c r="Q186" s="16">
        <f t="shared" si="192"/>
        <v>0</v>
      </c>
      <c r="R186" s="16">
        <f t="shared" si="192"/>
        <v>12</v>
      </c>
      <c r="S186" s="16">
        <f t="shared" si="193"/>
        <v>90</v>
      </c>
      <c r="T186" s="16">
        <f t="shared" si="193"/>
        <v>91</v>
      </c>
      <c r="U186" s="16">
        <f t="shared" si="193"/>
        <v>0</v>
      </c>
      <c r="V186" s="106">
        <f>IF(W$8&lt;V$8,0,IF($D186&lt;V$8,V$12,IF($D186&lt;W$8,W$8-$D186,0)))</f>
        <v>0</v>
      </c>
      <c r="W186" s="141">
        <f>$L186*O$11*O186</f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0.45960657534246796</v>
      </c>
      <c r="AA186" s="63">
        <f>($L186+SUM($W186:Z186))*(S$11*S186)</f>
        <v>3.45101578277352</v>
      </c>
      <c r="AB186" s="63">
        <f>($L186+SUM($W186:AA186))*(T$11*T186)</f>
        <v>3.519474060850974</v>
      </c>
      <c r="AC186" s="63">
        <f>($L186+SUM($W186:AB186))*(U$11*U186)</f>
        <v>0</v>
      </c>
      <c r="AD186" s="63">
        <f>($L186+SUM($W186:AC186))*(V$11*V186)</f>
        <v>0</v>
      </c>
      <c r="AE186" s="110">
        <f t="shared" si="187"/>
        <v>7.430096418966961</v>
      </c>
    </row>
    <row r="187" spans="1:31" s="69" customFormat="1" ht="12.75">
      <c r="A187" s="3">
        <v>12</v>
      </c>
      <c r="B187" s="83">
        <f t="shared" si="171"/>
        <v>42705</v>
      </c>
      <c r="C187" s="243">
        <f t="shared" si="191"/>
        <v>42740</v>
      </c>
      <c r="D187" s="243">
        <f t="shared" si="191"/>
        <v>42755</v>
      </c>
      <c r="E187" s="149" t="s">
        <v>222</v>
      </c>
      <c r="F187" s="81">
        <v>9</v>
      </c>
      <c r="G187" s="363">
        <v>11</v>
      </c>
      <c r="H187" s="247">
        <f t="shared" si="190"/>
        <v>1623.7</v>
      </c>
      <c r="I187" s="247">
        <f t="shared" si="170"/>
        <v>1652.23</v>
      </c>
      <c r="J187" s="85">
        <f t="shared" si="172"/>
        <v>18174.53</v>
      </c>
      <c r="K187" s="86">
        <f t="shared" si="149"/>
        <v>17860.7</v>
      </c>
      <c r="L187" s="87">
        <f t="shared" si="188"/>
        <v>313.8299999999981</v>
      </c>
      <c r="M187" s="88">
        <f t="shared" si="151"/>
        <v>4.893756837280886</v>
      </c>
      <c r="N187" s="89">
        <f t="shared" si="189"/>
        <v>318.723756837279</v>
      </c>
      <c r="O187" s="81">
        <f t="shared" si="192"/>
        <v>0</v>
      </c>
      <c r="P187" s="81">
        <f t="shared" si="192"/>
        <v>0</v>
      </c>
      <c r="Q187" s="81">
        <f t="shared" si="192"/>
        <v>0</v>
      </c>
      <c r="R187" s="81">
        <f t="shared" si="192"/>
        <v>0</v>
      </c>
      <c r="S187" s="81">
        <f t="shared" si="193"/>
        <v>71</v>
      </c>
      <c r="T187" s="81">
        <f t="shared" si="193"/>
        <v>91</v>
      </c>
      <c r="U187" s="81">
        <f t="shared" si="193"/>
        <v>0</v>
      </c>
      <c r="V187" s="107">
        <f>IF(W$8&lt;V$8,0,IF($D187&lt;V$8,V$12,IF($D187&lt;W$8,W$8-$D187,0)))</f>
        <v>0</v>
      </c>
      <c r="W187" s="142">
        <f>$L187*O$11*O187</f>
        <v>0</v>
      </c>
      <c r="X187" s="90">
        <f>($L187+SUM($W187:W187))*(P$11*P187)</f>
        <v>0</v>
      </c>
      <c r="Y187" s="90">
        <f>($L187+SUM($W187:X187))*(Q$11*Q187)</f>
        <v>0</v>
      </c>
      <c r="Z187" s="90">
        <f>($L187+SUM($W187:Y187))*(R$11*R187)</f>
        <v>0</v>
      </c>
      <c r="AA187" s="90">
        <f>($L187+SUM($W187:Z187))*(S$11*S187)</f>
        <v>2.1366234246575213</v>
      </c>
      <c r="AB187" s="90">
        <f>($L187+SUM($W187:AA187))*(T$11*T187)</f>
        <v>2.757133412623365</v>
      </c>
      <c r="AC187" s="90">
        <f>($L187+SUM($W187:AB187))*(U$11*U187)</f>
        <v>0</v>
      </c>
      <c r="AD187" s="90">
        <f>($L187+SUM($W187:AC187))*(V$11*V187)</f>
        <v>0</v>
      </c>
      <c r="AE187" s="111">
        <f t="shared" si="187"/>
        <v>4.893756837280886</v>
      </c>
    </row>
    <row r="188" spans="1:31" ht="12.75">
      <c r="A188" s="16">
        <v>1</v>
      </c>
      <c r="B188" s="15">
        <f t="shared" si="171"/>
        <v>42370</v>
      </c>
      <c r="C188" s="242">
        <f aca="true" t="shared" si="194" ref="C188:D199">+C164</f>
        <v>42403</v>
      </c>
      <c r="D188" s="242">
        <f t="shared" si="194"/>
        <v>42418</v>
      </c>
      <c r="E188" s="117" t="s">
        <v>223</v>
      </c>
      <c r="F188" s="3">
        <v>9</v>
      </c>
      <c r="G188" s="362">
        <v>21</v>
      </c>
      <c r="H188" s="246">
        <f aca="true" t="shared" si="195" ref="H188:H193">$K$3</f>
        <v>1566.72</v>
      </c>
      <c r="I188" s="246">
        <f t="shared" si="170"/>
        <v>1652.23</v>
      </c>
      <c r="J188" s="56">
        <f t="shared" si="172"/>
        <v>34696.83</v>
      </c>
      <c r="K188" s="57">
        <f t="shared" si="149"/>
        <v>32901.12</v>
      </c>
      <c r="L188" s="58">
        <f t="shared" si="188"/>
        <v>1795.7099999999991</v>
      </c>
      <c r="M188" s="55">
        <f t="shared" si="151"/>
        <v>86.88427836956527</v>
      </c>
      <c r="N188" s="29">
        <f t="shared" si="189"/>
        <v>1882.5942783695643</v>
      </c>
      <c r="O188" s="16">
        <f aca="true" t="shared" si="196" ref="O188:Q199">IF($D188&lt;O$8,O$12,IF($D188&lt;P$8,P$8-$D188,0))</f>
        <v>43</v>
      </c>
      <c r="P188" s="16">
        <f t="shared" si="196"/>
        <v>91</v>
      </c>
      <c r="Q188" s="16">
        <f t="shared" si="196"/>
        <v>92</v>
      </c>
      <c r="R188" s="16">
        <f aca="true" t="shared" si="197" ref="R188:U207">IF($D188&lt;R$8,R$12,IF($D188&lt;S$8,S$8-$D188,0))</f>
        <v>92</v>
      </c>
      <c r="S188" s="16">
        <f t="shared" si="197"/>
        <v>90</v>
      </c>
      <c r="T188" s="16">
        <f t="shared" si="197"/>
        <v>91</v>
      </c>
      <c r="U188" s="16">
        <f t="shared" si="197"/>
        <v>0</v>
      </c>
      <c r="V188" s="106">
        <f aca="true" t="shared" si="198" ref="V188:V199">IF(W$8&lt;V$8,0,IF($D188&lt;V$8,V$12,IF($D188&lt;W$8,W$8-$D188,0)))</f>
        <v>0</v>
      </c>
      <c r="W188" s="141">
        <f aca="true" t="shared" si="199" ref="W188:W199">$L188*O$11*O188</f>
        <v>6.875355410958901</v>
      </c>
      <c r="X188" s="63">
        <f>($L188+SUM($W188:W188))*(P$11*P188)</f>
        <v>15.534664130964922</v>
      </c>
      <c r="Y188" s="63">
        <f>($L188+SUM($W188:X188))*(Q$11*Q188)</f>
        <v>16.039305377876694</v>
      </c>
      <c r="Z188" s="63">
        <f>($L188+SUM($W188:Y188))*(R$11*R188)</f>
        <v>16.18080281162125</v>
      </c>
      <c r="AA188" s="63">
        <f>($L188+SUM($W188:Z188))*(S$11*S188)</f>
        <v>15.968688773572536</v>
      </c>
      <c r="AB188" s="63">
        <f>($L188+SUM($W188:AA188))*(T$11*T188)</f>
        <v>16.28546186457097</v>
      </c>
      <c r="AC188" s="63">
        <f>($L188+SUM($W188:AB188))*(U$11*U188)</f>
        <v>0</v>
      </c>
      <c r="AD188" s="63">
        <f>($L188+SUM($W188:AC188))*(V$11*V188)</f>
        <v>0</v>
      </c>
      <c r="AE188" s="110">
        <f>SUM(W188:AD188)</f>
        <v>86.88427836956527</v>
      </c>
    </row>
    <row r="189" spans="1:31" ht="12.75">
      <c r="A189" s="3">
        <v>2</v>
      </c>
      <c r="B189" s="15">
        <f t="shared" si="171"/>
        <v>42401</v>
      </c>
      <c r="C189" s="243">
        <f t="shared" si="194"/>
        <v>42432</v>
      </c>
      <c r="D189" s="243">
        <f t="shared" si="194"/>
        <v>42447</v>
      </c>
      <c r="E189" s="30" t="s">
        <v>223</v>
      </c>
      <c r="F189" s="3">
        <v>9</v>
      </c>
      <c r="G189" s="362">
        <v>21</v>
      </c>
      <c r="H189" s="246">
        <f t="shared" si="195"/>
        <v>1566.72</v>
      </c>
      <c r="I189" s="246">
        <f t="shared" si="170"/>
        <v>1652.23</v>
      </c>
      <c r="J189" s="56">
        <f t="shared" si="172"/>
        <v>34696.83</v>
      </c>
      <c r="K189" s="57">
        <f t="shared" si="149"/>
        <v>32901.12</v>
      </c>
      <c r="L189" s="58">
        <f t="shared" si="188"/>
        <v>1795.7099999999991</v>
      </c>
      <c r="M189" s="55">
        <f t="shared" si="151"/>
        <v>82.04160038359835</v>
      </c>
      <c r="N189" s="29">
        <f t="shared" si="189"/>
        <v>1877.7516003835974</v>
      </c>
      <c r="O189" s="16">
        <f t="shared" si="196"/>
        <v>14</v>
      </c>
      <c r="P189" s="16">
        <f t="shared" si="196"/>
        <v>91</v>
      </c>
      <c r="Q189" s="16">
        <f t="shared" si="196"/>
        <v>92</v>
      </c>
      <c r="R189" s="16">
        <f t="shared" si="197"/>
        <v>92</v>
      </c>
      <c r="S189" s="16">
        <f t="shared" si="197"/>
        <v>90</v>
      </c>
      <c r="T189" s="16">
        <f t="shared" si="197"/>
        <v>91</v>
      </c>
      <c r="U189" s="16">
        <f t="shared" si="197"/>
        <v>0</v>
      </c>
      <c r="V189" s="106">
        <f t="shared" si="198"/>
        <v>0</v>
      </c>
      <c r="W189" s="141">
        <f t="shared" si="199"/>
        <v>2.238487808219177</v>
      </c>
      <c r="X189" s="63">
        <f>($L189+SUM($W189:W189))*(P$11*P189)</f>
        <v>15.494703648310333</v>
      </c>
      <c r="Y189" s="63">
        <f>($L189+SUM($W189:X189))*(Q$11*Q189)</f>
        <v>15.998046784904172</v>
      </c>
      <c r="Z189" s="63">
        <f>($L189+SUM($W189:Y189))*(R$11*R189)</f>
        <v>16.139180238732642</v>
      </c>
      <c r="AA189" s="63">
        <f>($L189+SUM($W189:Z189))*(S$11*S189)</f>
        <v>15.927611830719238</v>
      </c>
      <c r="AB189" s="63">
        <f>($L189+SUM($W189:AA189))*(T$11*T189)</f>
        <v>16.24357007271279</v>
      </c>
      <c r="AC189" s="63">
        <f>($L189+SUM($W189:AB189))*(U$11*U189)</f>
        <v>0</v>
      </c>
      <c r="AD189" s="63">
        <f>($L189+SUM($W189:AC189))*(V$11*V189)</f>
        <v>0</v>
      </c>
      <c r="AE189" s="110">
        <f aca="true" t="shared" si="200" ref="AE189:AE199">SUM(W189:AD189)</f>
        <v>82.04160038359835</v>
      </c>
    </row>
    <row r="190" spans="1:31" ht="12.75">
      <c r="A190" s="3">
        <v>3</v>
      </c>
      <c r="B190" s="15">
        <f t="shared" si="171"/>
        <v>42430</v>
      </c>
      <c r="C190" s="243">
        <f t="shared" si="194"/>
        <v>42465</v>
      </c>
      <c r="D190" s="243">
        <f t="shared" si="194"/>
        <v>42480</v>
      </c>
      <c r="E190" s="30" t="s">
        <v>223</v>
      </c>
      <c r="F190" s="3">
        <v>9</v>
      </c>
      <c r="G190" s="362">
        <v>18</v>
      </c>
      <c r="H190" s="246">
        <f t="shared" si="195"/>
        <v>1566.72</v>
      </c>
      <c r="I190" s="246">
        <f t="shared" si="170"/>
        <v>1652.23</v>
      </c>
      <c r="J190" s="56">
        <f t="shared" si="172"/>
        <v>29740.14</v>
      </c>
      <c r="K190" s="57">
        <f t="shared" si="149"/>
        <v>28200.96</v>
      </c>
      <c r="L190" s="58">
        <f>+J190-K190</f>
        <v>1539.1800000000003</v>
      </c>
      <c r="M190" s="55">
        <f t="shared" si="151"/>
        <v>65.44975139395044</v>
      </c>
      <c r="N190" s="29">
        <f>SUM(L190:M190)</f>
        <v>1604.6297513939508</v>
      </c>
      <c r="O190" s="16">
        <f t="shared" si="196"/>
        <v>0</v>
      </c>
      <c r="P190" s="16">
        <f t="shared" si="196"/>
        <v>72</v>
      </c>
      <c r="Q190" s="16">
        <f t="shared" si="196"/>
        <v>92</v>
      </c>
      <c r="R190" s="16">
        <f t="shared" si="197"/>
        <v>92</v>
      </c>
      <c r="S190" s="16">
        <f t="shared" si="197"/>
        <v>90</v>
      </c>
      <c r="T190" s="16">
        <f t="shared" si="197"/>
        <v>91</v>
      </c>
      <c r="U190" s="16">
        <f t="shared" si="197"/>
        <v>0</v>
      </c>
      <c r="V190" s="106">
        <f t="shared" si="198"/>
        <v>0</v>
      </c>
      <c r="W190" s="141">
        <f t="shared" si="199"/>
        <v>0</v>
      </c>
      <c r="X190" s="63">
        <f>($L190+SUM($W190:W190))*(P$11*P190)</f>
        <v>10.495099134246578</v>
      </c>
      <c r="Y190" s="63">
        <f>($L190+SUM($W190:X190))*(Q$11*Q190)</f>
        <v>13.671106354006236</v>
      </c>
      <c r="Z190" s="63">
        <f>($L190+SUM($W190:Y190))*(R$11*R190)</f>
        <v>13.791711730608702</v>
      </c>
      <c r="AA190" s="63">
        <f>($L190+SUM($W190:Z190))*(S$11*S190)</f>
        <v>13.610916271888808</v>
      </c>
      <c r="AB190" s="63">
        <f>($L190+SUM($W190:AA190))*(T$11*T190)</f>
        <v>13.880917903200112</v>
      </c>
      <c r="AC190" s="63">
        <f>($L190+SUM($W190:AB190))*(U$11*U190)</f>
        <v>0</v>
      </c>
      <c r="AD190" s="63">
        <f>($L190+SUM($W190:AC190))*(V$11*V190)</f>
        <v>0</v>
      </c>
      <c r="AE190" s="110">
        <f t="shared" si="200"/>
        <v>65.44975139395044</v>
      </c>
    </row>
    <row r="191" spans="1:31" ht="12.75">
      <c r="A191" s="16">
        <v>4</v>
      </c>
      <c r="B191" s="15">
        <f t="shared" si="171"/>
        <v>42461</v>
      </c>
      <c r="C191" s="243">
        <f t="shared" si="194"/>
        <v>42494</v>
      </c>
      <c r="D191" s="243">
        <f t="shared" si="194"/>
        <v>42509</v>
      </c>
      <c r="E191" s="30" t="s">
        <v>223</v>
      </c>
      <c r="F191" s="3">
        <v>9</v>
      </c>
      <c r="G191" s="362">
        <v>23</v>
      </c>
      <c r="H191" s="246">
        <f t="shared" si="195"/>
        <v>1566.72</v>
      </c>
      <c r="I191" s="246">
        <f t="shared" si="170"/>
        <v>1652.23</v>
      </c>
      <c r="J191" s="56">
        <f t="shared" si="172"/>
        <v>38001.29</v>
      </c>
      <c r="K191" s="57">
        <f t="shared" si="149"/>
        <v>36034.56</v>
      </c>
      <c r="L191" s="58">
        <f aca="true" t="shared" si="201" ref="L191:L201">+J191-K191</f>
        <v>1966.7300000000032</v>
      </c>
      <c r="M191" s="55">
        <f t="shared" si="151"/>
        <v>78.03727982714139</v>
      </c>
      <c r="N191" s="29">
        <f aca="true" t="shared" si="202" ref="N191:N201">SUM(L191:M191)</f>
        <v>2044.7672798271446</v>
      </c>
      <c r="O191" s="16">
        <f t="shared" si="196"/>
        <v>0</v>
      </c>
      <c r="P191" s="16">
        <f t="shared" si="196"/>
        <v>43</v>
      </c>
      <c r="Q191" s="16">
        <f t="shared" si="196"/>
        <v>92</v>
      </c>
      <c r="R191" s="16">
        <f>IF($D191&lt;R$8,R$12,IF($D191&lt;S$8,S$8-$D191,0))</f>
        <v>92</v>
      </c>
      <c r="S191" s="16">
        <f aca="true" t="shared" si="203" ref="S191:U195">IF($D191&lt;S$8,S$12,IF($D191&lt;T$8,T$8-$D191,0))</f>
        <v>90</v>
      </c>
      <c r="T191" s="16">
        <f t="shared" si="203"/>
        <v>91</v>
      </c>
      <c r="U191" s="16">
        <f t="shared" si="203"/>
        <v>0</v>
      </c>
      <c r="V191" s="106">
        <f>IF(W$8&lt;V$8,0,IF($D191&lt;V$8,V$12,IF($D191&lt;W$8,W$8-$D191,0)))</f>
        <v>0</v>
      </c>
      <c r="W191" s="141">
        <f>$L191*O$11*O191</f>
        <v>0</v>
      </c>
      <c r="X191" s="63">
        <f>($L191+SUM($W191:W191))*(P$11*P191)</f>
        <v>8.008991546118734</v>
      </c>
      <c r="Y191" s="63">
        <f>($L191+SUM($W191:X191))*(Q$11*Q191)</f>
        <v>17.420985076105516</v>
      </c>
      <c r="Z191" s="63">
        <f>($L191+SUM($W191:Y191))*(R$11*R191)</f>
        <v>17.574671574585132</v>
      </c>
      <c r="AA191" s="63">
        <f>($L191+SUM($W191:Z191))*(S$11*S191)</f>
        <v>17.344285320054684</v>
      </c>
      <c r="AB191" s="63">
        <f>($L191+SUM($W191:AA191))*(T$11*T191)</f>
        <v>17.68834631027732</v>
      </c>
      <c r="AC191" s="63">
        <f>($L191+SUM($W191:AB191))*(U$11*U191)</f>
        <v>0</v>
      </c>
      <c r="AD191" s="63">
        <f>($L191+SUM($W191:AC191))*(V$11*V191)</f>
        <v>0</v>
      </c>
      <c r="AE191" s="110">
        <f>SUM(W191:AD191)</f>
        <v>78.03727982714139</v>
      </c>
    </row>
    <row r="192" spans="1:31" ht="12.75">
      <c r="A192" s="3">
        <v>5</v>
      </c>
      <c r="B192" s="15">
        <f t="shared" si="171"/>
        <v>42491</v>
      </c>
      <c r="C192" s="243">
        <f t="shared" si="194"/>
        <v>42524</v>
      </c>
      <c r="D192" s="243">
        <f t="shared" si="194"/>
        <v>42541</v>
      </c>
      <c r="E192" s="30" t="s">
        <v>223</v>
      </c>
      <c r="F192" s="3">
        <v>9</v>
      </c>
      <c r="G192" s="362">
        <v>30</v>
      </c>
      <c r="H192" s="246">
        <f t="shared" si="195"/>
        <v>1566.72</v>
      </c>
      <c r="I192" s="246">
        <f aca="true" t="shared" si="204" ref="I192:I223">$J$3</f>
        <v>1652.23</v>
      </c>
      <c r="J192" s="56">
        <f t="shared" si="172"/>
        <v>49566.9</v>
      </c>
      <c r="K192" s="57">
        <f t="shared" si="149"/>
        <v>47001.6</v>
      </c>
      <c r="L192" s="58">
        <f t="shared" si="201"/>
        <v>2565.300000000003</v>
      </c>
      <c r="M192" s="55">
        <f t="shared" si="151"/>
        <v>93.7379215998342</v>
      </c>
      <c r="N192" s="29">
        <f t="shared" si="202"/>
        <v>2659.0379215998373</v>
      </c>
      <c r="O192" s="16">
        <f t="shared" si="196"/>
        <v>0</v>
      </c>
      <c r="P192" s="16">
        <f t="shared" si="196"/>
        <v>11</v>
      </c>
      <c r="Q192" s="16">
        <f t="shared" si="196"/>
        <v>92</v>
      </c>
      <c r="R192" s="16">
        <f>IF($D192&lt;R$8,R$12,IF($D192&lt;S$8,S$8-$D192,0))</f>
        <v>92</v>
      </c>
      <c r="S192" s="16">
        <f t="shared" si="203"/>
        <v>90</v>
      </c>
      <c r="T192" s="16">
        <f t="shared" si="203"/>
        <v>91</v>
      </c>
      <c r="U192" s="16">
        <f t="shared" si="203"/>
        <v>0</v>
      </c>
      <c r="V192" s="106">
        <f>IF(W$8&lt;V$8,0,IF($D192&lt;V$8,V$12,IF($D192&lt;W$8,W$8-$D192,0)))</f>
        <v>0</v>
      </c>
      <c r="W192" s="141">
        <f>$L192*O$11*O192</f>
        <v>0</v>
      </c>
      <c r="X192" s="63">
        <f>($L192+SUM($W192:W192))*(P$11*P192)</f>
        <v>2.672363205479455</v>
      </c>
      <c r="Y192" s="63">
        <f>($L192+SUM($W192:X192))*(Q$11*Q192)</f>
        <v>22.654441121977136</v>
      </c>
      <c r="Z192" s="63">
        <f>($L192+SUM($W192:Y192))*(R$11*R192)</f>
        <v>22.85429673954636</v>
      </c>
      <c r="AA192" s="63">
        <f>($L192+SUM($W192:Z192))*(S$11*S192)</f>
        <v>22.554699913317997</v>
      </c>
      <c r="AB192" s="63">
        <f>($L192+SUM($W192:AA192))*(T$11*T192)</f>
        <v>23.00212061951324</v>
      </c>
      <c r="AC192" s="63">
        <f>($L192+SUM($W192:AB192))*(U$11*U192)</f>
        <v>0</v>
      </c>
      <c r="AD192" s="63">
        <f>($L192+SUM($W192:AC192))*(V$11*V192)</f>
        <v>0</v>
      </c>
      <c r="AE192" s="110">
        <f>SUM(W192:AD192)</f>
        <v>93.7379215998342</v>
      </c>
    </row>
    <row r="193" spans="1:31" ht="12.75">
      <c r="A193" s="3">
        <v>6</v>
      </c>
      <c r="B193" s="15">
        <f t="shared" si="171"/>
        <v>42522</v>
      </c>
      <c r="C193" s="243">
        <f t="shared" si="194"/>
        <v>42557</v>
      </c>
      <c r="D193" s="243">
        <f t="shared" si="194"/>
        <v>42572</v>
      </c>
      <c r="E193" s="30" t="s">
        <v>223</v>
      </c>
      <c r="F193" s="3">
        <v>9</v>
      </c>
      <c r="G193" s="362">
        <v>33</v>
      </c>
      <c r="H193" s="246">
        <f t="shared" si="195"/>
        <v>1566.72</v>
      </c>
      <c r="I193" s="246">
        <f t="shared" si="204"/>
        <v>1652.23</v>
      </c>
      <c r="J193" s="56">
        <f t="shared" si="172"/>
        <v>54523.590000000004</v>
      </c>
      <c r="K193" s="57">
        <f t="shared" si="149"/>
        <v>51701.76</v>
      </c>
      <c r="L193" s="77">
        <f t="shared" si="201"/>
        <v>2821.8300000000017</v>
      </c>
      <c r="M193" s="78">
        <f t="shared" si="151"/>
        <v>94.51323281732746</v>
      </c>
      <c r="N193" s="76">
        <f t="shared" si="202"/>
        <v>2916.3432328173294</v>
      </c>
      <c r="O193" s="16">
        <f t="shared" si="196"/>
        <v>0</v>
      </c>
      <c r="P193" s="16">
        <f t="shared" si="196"/>
        <v>0</v>
      </c>
      <c r="Q193" s="16">
        <f t="shared" si="196"/>
        <v>72</v>
      </c>
      <c r="R193" s="16">
        <f>IF($D193&lt;R$8,R$12,IF($D193&lt;S$8,S$8-$D193,0))</f>
        <v>92</v>
      </c>
      <c r="S193" s="16">
        <f t="shared" si="203"/>
        <v>90</v>
      </c>
      <c r="T193" s="16">
        <f t="shared" si="203"/>
        <v>91</v>
      </c>
      <c r="U193" s="16">
        <f t="shared" si="203"/>
        <v>0</v>
      </c>
      <c r="V193" s="106">
        <f>IF(W$8&lt;V$8,0,IF($D193&lt;V$8,V$12,IF($D193&lt;W$8,W$8-$D193,0)))</f>
        <v>0</v>
      </c>
      <c r="W193" s="141">
        <f>$L193*O$11*O193</f>
        <v>0</v>
      </c>
      <c r="X193" s="63">
        <f>($L193+SUM($W193:W193))*(P$11*P193)</f>
        <v>0</v>
      </c>
      <c r="Y193" s="63">
        <f>($L193+SUM($W193:X193))*(Q$11*Q193)</f>
        <v>19.48222356164385</v>
      </c>
      <c r="Z193" s="63">
        <f>($L193+SUM($W193:Y193))*(R$11*R193)</f>
        <v>25.065822903749314</v>
      </c>
      <c r="AA193" s="63">
        <f>($L193+SUM($W193:Z193))*(S$11*S193)</f>
        <v>24.737235195523276</v>
      </c>
      <c r="AB193" s="63">
        <f>($L193+SUM($W193:AA193))*(T$11*T193)</f>
        <v>25.227951156411027</v>
      </c>
      <c r="AC193" s="63">
        <f>($L193+SUM($W193:AB193))*(U$11*U193)</f>
        <v>0</v>
      </c>
      <c r="AD193" s="63">
        <f>($L193+SUM($W193:AC193))*(V$11*V193)</f>
        <v>0</v>
      </c>
      <c r="AE193" s="110">
        <f>SUM(W193:AD193)</f>
        <v>94.51323281732746</v>
      </c>
    </row>
    <row r="194" spans="1:31" ht="12.75">
      <c r="A194" s="16">
        <v>7</v>
      </c>
      <c r="B194" s="15">
        <f t="shared" si="171"/>
        <v>42552</v>
      </c>
      <c r="C194" s="243">
        <f t="shared" si="194"/>
        <v>42585</v>
      </c>
      <c r="D194" s="243">
        <f t="shared" si="194"/>
        <v>42600</v>
      </c>
      <c r="E194" s="30" t="s">
        <v>223</v>
      </c>
      <c r="F194" s="3">
        <v>9</v>
      </c>
      <c r="G194" s="362">
        <v>38</v>
      </c>
      <c r="H194" s="246">
        <f aca="true" t="shared" si="205" ref="H194:H199">$K$8</f>
        <v>1623.7</v>
      </c>
      <c r="I194" s="246">
        <f t="shared" si="204"/>
        <v>1652.23</v>
      </c>
      <c r="J194" s="56">
        <f t="shared" si="172"/>
        <v>62784.74</v>
      </c>
      <c r="K194" s="74">
        <f t="shared" si="149"/>
        <v>61700.6</v>
      </c>
      <c r="L194" s="77">
        <f t="shared" si="201"/>
        <v>1084.1399999999994</v>
      </c>
      <c r="M194" s="75">
        <f t="shared" si="151"/>
        <v>33.324037984624795</v>
      </c>
      <c r="N194" s="76">
        <f t="shared" si="202"/>
        <v>1117.4640379846242</v>
      </c>
      <c r="O194" s="16">
        <f t="shared" si="196"/>
        <v>0</v>
      </c>
      <c r="P194" s="16">
        <f t="shared" si="196"/>
        <v>0</v>
      </c>
      <c r="Q194" s="16">
        <f t="shared" si="196"/>
        <v>44</v>
      </c>
      <c r="R194" s="16">
        <f>IF($D194&lt;R$8,R$12,IF($D194&lt;S$8,S$8-$D194,0))</f>
        <v>92</v>
      </c>
      <c r="S194" s="16">
        <f t="shared" si="203"/>
        <v>90</v>
      </c>
      <c r="T194" s="16">
        <f t="shared" si="203"/>
        <v>91</v>
      </c>
      <c r="U194" s="16">
        <f t="shared" si="203"/>
        <v>0</v>
      </c>
      <c r="V194" s="106">
        <f>IF(W$8&lt;V$8,0,IF($D194&lt;V$8,V$12,IF($D194&lt;W$8,W$8-$D194,0)))</f>
        <v>0</v>
      </c>
      <c r="W194" s="141">
        <f>$L194*O$11*O194</f>
        <v>0</v>
      </c>
      <c r="X194" s="63">
        <f>($L194+SUM($W194:W194))*(P$11*P194)</f>
        <v>0</v>
      </c>
      <c r="Y194" s="63">
        <f>($L194+SUM($W194:X194))*(Q$11*Q194)</f>
        <v>4.5741797260273955</v>
      </c>
      <c r="Z194" s="63">
        <f>($L194+SUM($W194:Y194))*(R$11*R194)</f>
        <v>9.60454701018577</v>
      </c>
      <c r="AA194" s="63">
        <f>($L194+SUM($W194:Z194))*(S$11*S194)</f>
        <v>9.478641066353616</v>
      </c>
      <c r="AB194" s="63">
        <f>($L194+SUM($W194:AA194))*(T$11*T194)</f>
        <v>9.66667018205801</v>
      </c>
      <c r="AC194" s="63">
        <f>($L194+SUM($W194:AB194))*(U$11*U194)</f>
        <v>0</v>
      </c>
      <c r="AD194" s="63">
        <f>($L194+SUM($W194:AC194))*(V$11*V194)</f>
        <v>0</v>
      </c>
      <c r="AE194" s="110">
        <f>SUM(W194:AD194)</f>
        <v>33.324037984624795</v>
      </c>
    </row>
    <row r="195" spans="1:31" ht="12.75">
      <c r="A195" s="3">
        <v>8</v>
      </c>
      <c r="B195" s="15">
        <f t="shared" si="171"/>
        <v>42583</v>
      </c>
      <c r="C195" s="243">
        <f t="shared" si="194"/>
        <v>42619</v>
      </c>
      <c r="D195" s="243">
        <f t="shared" si="194"/>
        <v>42634</v>
      </c>
      <c r="E195" s="30" t="s">
        <v>223</v>
      </c>
      <c r="F195" s="3">
        <v>9</v>
      </c>
      <c r="G195" s="362">
        <v>38</v>
      </c>
      <c r="H195" s="246">
        <f t="shared" si="205"/>
        <v>1623.7</v>
      </c>
      <c r="I195" s="246">
        <f t="shared" si="204"/>
        <v>1652.23</v>
      </c>
      <c r="J195" s="56">
        <f t="shared" si="172"/>
        <v>62784.74</v>
      </c>
      <c r="K195" s="74">
        <f t="shared" si="149"/>
        <v>61700.6</v>
      </c>
      <c r="L195" s="77">
        <f t="shared" si="201"/>
        <v>1084.1399999999994</v>
      </c>
      <c r="M195" s="75">
        <f t="shared" si="151"/>
        <v>29.696105957556252</v>
      </c>
      <c r="N195" s="76">
        <f t="shared" si="202"/>
        <v>1113.8361059575557</v>
      </c>
      <c r="O195" s="16">
        <f t="shared" si="196"/>
        <v>0</v>
      </c>
      <c r="P195" s="16">
        <f t="shared" si="196"/>
        <v>0</v>
      </c>
      <c r="Q195" s="16">
        <f t="shared" si="196"/>
        <v>10</v>
      </c>
      <c r="R195" s="16">
        <f>IF($D195&lt;R$8,R$12,IF($D195&lt;S$8,S$8-$D195,0))</f>
        <v>92</v>
      </c>
      <c r="S195" s="16">
        <f t="shared" si="203"/>
        <v>90</v>
      </c>
      <c r="T195" s="16">
        <f t="shared" si="203"/>
        <v>91</v>
      </c>
      <c r="U195" s="16">
        <f t="shared" si="203"/>
        <v>0</v>
      </c>
      <c r="V195" s="106">
        <f>IF(W$8&lt;V$8,0,IF($D195&lt;V$8,V$12,IF($D195&lt;W$8,W$8-$D195,0)))</f>
        <v>0</v>
      </c>
      <c r="W195" s="141">
        <f>$L195*O$11*O195</f>
        <v>0</v>
      </c>
      <c r="X195" s="63">
        <f>($L195+SUM($W195:W195))*(P$11*P195)</f>
        <v>0</v>
      </c>
      <c r="Y195" s="63">
        <f>($L195+SUM($W195:X195))*(Q$11*Q195)</f>
        <v>1.0395863013698625</v>
      </c>
      <c r="Z195" s="63">
        <f>($L195+SUM($W195:Y195))*(R$11*R195)</f>
        <v>9.57336511750797</v>
      </c>
      <c r="AA195" s="63">
        <f>($L195+SUM($W195:Z195))*(S$11*S195)</f>
        <v>9.44786793690264</v>
      </c>
      <c r="AB195" s="63">
        <f>($L195+SUM($W195:AA195))*(T$11*T195)</f>
        <v>9.635286601775778</v>
      </c>
      <c r="AC195" s="63">
        <f>($L195+SUM($W195:AB195))*(U$11*U195)</f>
        <v>0</v>
      </c>
      <c r="AD195" s="63">
        <f>($L195+SUM($W195:AC195))*(V$11*V195)</f>
        <v>0</v>
      </c>
      <c r="AE195" s="110">
        <f>SUM(W195:AD195)</f>
        <v>29.696105957556252</v>
      </c>
    </row>
    <row r="196" spans="1:31" ht="12.75">
      <c r="A196" s="3">
        <v>9</v>
      </c>
      <c r="B196" s="15">
        <f t="shared" si="171"/>
        <v>42614</v>
      </c>
      <c r="C196" s="243">
        <f t="shared" si="194"/>
        <v>42648</v>
      </c>
      <c r="D196" s="243">
        <f t="shared" si="194"/>
        <v>42663</v>
      </c>
      <c r="E196" s="30" t="s">
        <v>223</v>
      </c>
      <c r="F196" s="3">
        <v>9</v>
      </c>
      <c r="G196" s="362">
        <v>23</v>
      </c>
      <c r="H196" s="246">
        <f t="shared" si="205"/>
        <v>1623.7</v>
      </c>
      <c r="I196" s="246">
        <f t="shared" si="204"/>
        <v>1652.23</v>
      </c>
      <c r="J196" s="56">
        <f t="shared" si="172"/>
        <v>38001.29</v>
      </c>
      <c r="K196" s="74">
        <f t="shared" si="149"/>
        <v>37345.1</v>
      </c>
      <c r="L196" s="77">
        <f t="shared" si="201"/>
        <v>656.1900000000023</v>
      </c>
      <c r="M196" s="75">
        <f t="shared" si="151"/>
        <v>16.111755583260013</v>
      </c>
      <c r="N196" s="76">
        <f t="shared" si="202"/>
        <v>672.3017555832623</v>
      </c>
      <c r="O196" s="16">
        <f t="shared" si="196"/>
        <v>0</v>
      </c>
      <c r="P196" s="16">
        <f t="shared" si="196"/>
        <v>0</v>
      </c>
      <c r="Q196" s="16">
        <f t="shared" si="196"/>
        <v>0</v>
      </c>
      <c r="R196" s="16">
        <f t="shared" si="197"/>
        <v>73</v>
      </c>
      <c r="S196" s="16">
        <f t="shared" si="197"/>
        <v>90</v>
      </c>
      <c r="T196" s="16">
        <f t="shared" si="197"/>
        <v>91</v>
      </c>
      <c r="U196" s="16">
        <f t="shared" si="197"/>
        <v>0</v>
      </c>
      <c r="V196" s="106">
        <f t="shared" si="198"/>
        <v>0</v>
      </c>
      <c r="W196" s="141">
        <f t="shared" si="199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4.593330000000017</v>
      </c>
      <c r="AA196" s="63">
        <f>($L196+SUM($W196:Z196))*(S$11*S196)</f>
        <v>5.702650656164405</v>
      </c>
      <c r="AB196" s="63">
        <f>($L196+SUM($W196:AA196))*(T$11*T196)</f>
        <v>5.815774927095592</v>
      </c>
      <c r="AC196" s="63">
        <f>($L196+SUM($W196:AB196))*(U$11*U196)</f>
        <v>0</v>
      </c>
      <c r="AD196" s="63">
        <f>($L196+SUM($W196:AC196))*(V$11*V196)</f>
        <v>0</v>
      </c>
      <c r="AE196" s="110">
        <f t="shared" si="200"/>
        <v>16.111755583260013</v>
      </c>
    </row>
    <row r="197" spans="1:31" ht="12.75">
      <c r="A197" s="16">
        <v>10</v>
      </c>
      <c r="B197" s="15">
        <f t="shared" si="171"/>
        <v>42644</v>
      </c>
      <c r="C197" s="243">
        <f t="shared" si="194"/>
        <v>42677</v>
      </c>
      <c r="D197" s="243">
        <f t="shared" si="194"/>
        <v>42692</v>
      </c>
      <c r="E197" s="30" t="s">
        <v>223</v>
      </c>
      <c r="F197" s="3">
        <v>9</v>
      </c>
      <c r="G197" s="362">
        <v>29</v>
      </c>
      <c r="H197" s="246">
        <f t="shared" si="205"/>
        <v>1623.7</v>
      </c>
      <c r="I197" s="246">
        <f t="shared" si="204"/>
        <v>1652.23</v>
      </c>
      <c r="J197" s="56">
        <f t="shared" si="172"/>
        <v>47914.67</v>
      </c>
      <c r="K197" s="74">
        <f t="shared" si="149"/>
        <v>47087.3</v>
      </c>
      <c r="L197" s="77">
        <f t="shared" si="201"/>
        <v>827.3699999999953</v>
      </c>
      <c r="M197" s="75">
        <f t="shared" si="151"/>
        <v>17.973947844913383</v>
      </c>
      <c r="N197" s="76">
        <f t="shared" si="202"/>
        <v>845.3439478449087</v>
      </c>
      <c r="O197" s="16">
        <f t="shared" si="196"/>
        <v>0</v>
      </c>
      <c r="P197" s="16">
        <f t="shared" si="196"/>
        <v>0</v>
      </c>
      <c r="Q197" s="16">
        <f t="shared" si="196"/>
        <v>0</v>
      </c>
      <c r="R197" s="16">
        <f t="shared" si="197"/>
        <v>44</v>
      </c>
      <c r="S197" s="16">
        <f t="shared" si="197"/>
        <v>90</v>
      </c>
      <c r="T197" s="16">
        <f t="shared" si="197"/>
        <v>91</v>
      </c>
      <c r="U197" s="16">
        <f t="shared" si="197"/>
        <v>0</v>
      </c>
      <c r="V197" s="106">
        <f t="shared" si="198"/>
        <v>0</v>
      </c>
      <c r="W197" s="141">
        <f t="shared" si="199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3.490821369862995</v>
      </c>
      <c r="AA197" s="63">
        <f>($L197+SUM($W197:Z197))*(S$11*S197)</f>
        <v>7.17044270497275</v>
      </c>
      <c r="AB197" s="63">
        <f>($L197+SUM($W197:AA197))*(T$11*T197)</f>
        <v>7.312683770077636</v>
      </c>
      <c r="AC197" s="63">
        <f>($L197+SUM($W197:AB197))*(U$11*U197)</f>
        <v>0</v>
      </c>
      <c r="AD197" s="63">
        <f>($L197+SUM($W197:AC197))*(V$11*V197)</f>
        <v>0</v>
      </c>
      <c r="AE197" s="110">
        <f t="shared" si="200"/>
        <v>17.973947844913383</v>
      </c>
    </row>
    <row r="198" spans="1:31" ht="12.75">
      <c r="A198" s="3">
        <v>11</v>
      </c>
      <c r="B198" s="15">
        <f t="shared" si="171"/>
        <v>42675</v>
      </c>
      <c r="C198" s="243">
        <f t="shared" si="194"/>
        <v>42709</v>
      </c>
      <c r="D198" s="243">
        <f t="shared" si="194"/>
        <v>42724</v>
      </c>
      <c r="E198" s="30" t="s">
        <v>223</v>
      </c>
      <c r="F198" s="3">
        <v>9</v>
      </c>
      <c r="G198" s="362">
        <v>23</v>
      </c>
      <c r="H198" s="246">
        <f t="shared" si="205"/>
        <v>1623.7</v>
      </c>
      <c r="I198" s="246">
        <f t="shared" si="204"/>
        <v>1652.23</v>
      </c>
      <c r="J198" s="56">
        <f t="shared" si="172"/>
        <v>38001.29</v>
      </c>
      <c r="K198" s="74">
        <f t="shared" si="149"/>
        <v>37345.1</v>
      </c>
      <c r="L198" s="77">
        <f t="shared" si="201"/>
        <v>656.1900000000023</v>
      </c>
      <c r="M198" s="75">
        <f t="shared" si="151"/>
        <v>12.206586974017139</v>
      </c>
      <c r="N198" s="76">
        <f t="shared" si="202"/>
        <v>668.3965869740194</v>
      </c>
      <c r="O198" s="16">
        <f t="shared" si="196"/>
        <v>0</v>
      </c>
      <c r="P198" s="16">
        <f t="shared" si="196"/>
        <v>0</v>
      </c>
      <c r="Q198" s="16">
        <f t="shared" si="196"/>
        <v>0</v>
      </c>
      <c r="R198" s="16">
        <f t="shared" si="197"/>
        <v>12</v>
      </c>
      <c r="S198" s="16">
        <f t="shared" si="197"/>
        <v>90</v>
      </c>
      <c r="T198" s="16">
        <f t="shared" si="197"/>
        <v>91</v>
      </c>
      <c r="U198" s="16">
        <f t="shared" si="197"/>
        <v>0</v>
      </c>
      <c r="V198" s="106">
        <f t="shared" si="198"/>
        <v>0</v>
      </c>
      <c r="W198" s="141">
        <f t="shared" si="199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0.7550679452054823</v>
      </c>
      <c r="AA198" s="63">
        <f>($L198+SUM($W198:Z198))*(S$11*S198)</f>
        <v>5.669525928842205</v>
      </c>
      <c r="AB198" s="63">
        <f>($L198+SUM($W198:AA198))*(T$11*T198)</f>
        <v>5.78199309996945</v>
      </c>
      <c r="AC198" s="63">
        <f>($L198+SUM($W198:AB198))*(U$11*U198)</f>
        <v>0</v>
      </c>
      <c r="AD198" s="63">
        <f>($L198+SUM($W198:AC198))*(V$11*V198)</f>
        <v>0</v>
      </c>
      <c r="AE198" s="110">
        <f t="shared" si="200"/>
        <v>12.206586974017139</v>
      </c>
    </row>
    <row r="199" spans="1:31" s="69" customFormat="1" ht="12.75">
      <c r="A199" s="3">
        <v>12</v>
      </c>
      <c r="B199" s="83">
        <f t="shared" si="171"/>
        <v>42705</v>
      </c>
      <c r="C199" s="243">
        <f t="shared" si="194"/>
        <v>42740</v>
      </c>
      <c r="D199" s="243">
        <f t="shared" si="194"/>
        <v>42755</v>
      </c>
      <c r="E199" s="84" t="s">
        <v>223</v>
      </c>
      <c r="F199" s="81">
        <v>9</v>
      </c>
      <c r="G199" s="363">
        <v>22</v>
      </c>
      <c r="H199" s="247">
        <f t="shared" si="205"/>
        <v>1623.7</v>
      </c>
      <c r="I199" s="247">
        <f t="shared" si="204"/>
        <v>1652.23</v>
      </c>
      <c r="J199" s="85">
        <f t="shared" si="172"/>
        <v>36349.06</v>
      </c>
      <c r="K199" s="86">
        <f t="shared" si="149"/>
        <v>35721.4</v>
      </c>
      <c r="L199" s="87">
        <f t="shared" si="201"/>
        <v>627.6599999999962</v>
      </c>
      <c r="M199" s="88">
        <f t="shared" si="151"/>
        <v>9.787513674561772</v>
      </c>
      <c r="N199" s="89">
        <f t="shared" si="202"/>
        <v>637.447513674558</v>
      </c>
      <c r="O199" s="81">
        <f t="shared" si="196"/>
        <v>0</v>
      </c>
      <c r="P199" s="81">
        <f t="shared" si="196"/>
        <v>0</v>
      </c>
      <c r="Q199" s="81">
        <f t="shared" si="196"/>
        <v>0</v>
      </c>
      <c r="R199" s="81">
        <f t="shared" si="197"/>
        <v>0</v>
      </c>
      <c r="S199" s="81">
        <f t="shared" si="197"/>
        <v>71</v>
      </c>
      <c r="T199" s="81">
        <f t="shared" si="197"/>
        <v>91</v>
      </c>
      <c r="U199" s="81">
        <f t="shared" si="197"/>
        <v>0</v>
      </c>
      <c r="V199" s="107">
        <f t="shared" si="198"/>
        <v>0</v>
      </c>
      <c r="W199" s="142">
        <f t="shared" si="199"/>
        <v>0</v>
      </c>
      <c r="X199" s="90">
        <f>($L199+SUM($W199:W199))*(P$11*P199)</f>
        <v>0</v>
      </c>
      <c r="Y199" s="90">
        <f>($L199+SUM($W199:X199))*(Q$11*Q199)</f>
        <v>0</v>
      </c>
      <c r="Z199" s="90">
        <f>($L199+SUM($W199:Y199))*(R$11*R199)</f>
        <v>0</v>
      </c>
      <c r="AA199" s="90">
        <f>($L199+SUM($W199:Z199))*(S$11*S199)</f>
        <v>4.273246849315043</v>
      </c>
      <c r="AB199" s="90">
        <f>($L199+SUM($W199:AA199))*(T$11*T199)</f>
        <v>5.51426682524673</v>
      </c>
      <c r="AC199" s="90">
        <f>($L199+SUM($W199:AB199))*(U$11*U199)</f>
        <v>0</v>
      </c>
      <c r="AD199" s="90">
        <f>($L199+SUM($W199:AC199))*(V$11*V199)</f>
        <v>0</v>
      </c>
      <c r="AE199" s="111">
        <f t="shared" si="200"/>
        <v>9.787513674561772</v>
      </c>
    </row>
    <row r="200" spans="1:31" ht="12.75">
      <c r="A200" s="16">
        <v>1</v>
      </c>
      <c r="B200" s="15">
        <f t="shared" si="171"/>
        <v>42370</v>
      </c>
      <c r="C200" s="242">
        <f aca="true" t="shared" si="206" ref="C200:D223">+C188</f>
        <v>42403</v>
      </c>
      <c r="D200" s="242">
        <f t="shared" si="206"/>
        <v>42418</v>
      </c>
      <c r="E200" s="118" t="s">
        <v>224</v>
      </c>
      <c r="F200" s="16">
        <v>9</v>
      </c>
      <c r="G200" s="362">
        <v>41</v>
      </c>
      <c r="H200" s="246">
        <f aca="true" t="shared" si="207" ref="H200:H205">$K$3</f>
        <v>1566.72</v>
      </c>
      <c r="I200" s="246">
        <f t="shared" si="204"/>
        <v>1652.23</v>
      </c>
      <c r="J200" s="56">
        <f t="shared" si="172"/>
        <v>67741.43000000001</v>
      </c>
      <c r="K200" s="57">
        <f t="shared" si="149"/>
        <v>64235.520000000004</v>
      </c>
      <c r="L200" s="58">
        <f t="shared" si="201"/>
        <v>3505.9100000000035</v>
      </c>
      <c r="M200" s="55">
        <f t="shared" si="151"/>
        <v>169.63121015010387</v>
      </c>
      <c r="N200" s="29">
        <f t="shared" si="202"/>
        <v>3675.5412101501074</v>
      </c>
      <c r="O200" s="16">
        <f aca="true" t="shared" si="208" ref="O200:O223">IF($D200&lt;O$8,O$12,IF($D200&lt;P$8,P$8-$D200,0))</f>
        <v>43</v>
      </c>
      <c r="P200" s="16">
        <f aca="true" t="shared" si="209" ref="P200:P223">IF($D200&lt;P$8,P$12,IF($D200&lt;Q$8,Q$8-$D200,0))</f>
        <v>91</v>
      </c>
      <c r="Q200" s="16">
        <f aca="true" t="shared" si="210" ref="Q200:Q223">IF($D200&lt;Q$8,Q$12,IF($D200&lt;R$8,R$8-$D200,0))</f>
        <v>92</v>
      </c>
      <c r="R200" s="16">
        <f t="shared" si="197"/>
        <v>92</v>
      </c>
      <c r="S200" s="16">
        <f t="shared" si="197"/>
        <v>90</v>
      </c>
      <c r="T200" s="16">
        <f t="shared" si="197"/>
        <v>91</v>
      </c>
      <c r="U200" s="16">
        <f t="shared" si="197"/>
        <v>0</v>
      </c>
      <c r="V200" s="106">
        <f>IF(W$8&lt;V$8,0,IF($D200&lt;V$8,V$12,IF($D200&lt;W$8,W$8-$D200,0)))</f>
        <v>0</v>
      </c>
      <c r="W200" s="141">
        <f>$L200*O$11*O200</f>
        <v>13.423312945205492</v>
      </c>
      <c r="X200" s="63">
        <f>($L200+SUM($W200:W200))*(P$11*P200)</f>
        <v>30.32958235093156</v>
      </c>
      <c r="Y200" s="63">
        <f>($L200+SUM($W200:X200))*(Q$11*Q200)</f>
        <v>31.314834309187873</v>
      </c>
      <c r="Z200" s="63">
        <f>($L200+SUM($W200:Y200))*(R$11*R200)</f>
        <v>31.591091203641533</v>
      </c>
      <c r="AA200" s="63">
        <f>($L200+SUM($W200:Z200))*(S$11*S200)</f>
        <v>31.17696379602262</v>
      </c>
      <c r="AB200" s="63">
        <f>($L200+SUM($W200:AA200))*(T$11*T200)</f>
        <v>31.795425545114796</v>
      </c>
      <c r="AC200" s="63">
        <f>($L200+SUM($W200:AB200))*(U$11*U200)</f>
        <v>0</v>
      </c>
      <c r="AD200" s="63">
        <f>($L200+SUM($W200:AC200))*(V$11*V200)</f>
        <v>0</v>
      </c>
      <c r="AE200" s="110">
        <f aca="true" t="shared" si="211" ref="AE200:AE223">SUM(W200:AD200)</f>
        <v>169.63121015010387</v>
      </c>
    </row>
    <row r="201" spans="1:31" ht="12.75">
      <c r="A201" s="3">
        <v>2</v>
      </c>
      <c r="B201" s="15">
        <f t="shared" si="171"/>
        <v>42401</v>
      </c>
      <c r="C201" s="243">
        <f t="shared" si="206"/>
        <v>42432</v>
      </c>
      <c r="D201" s="243">
        <f t="shared" si="206"/>
        <v>42447</v>
      </c>
      <c r="E201" s="70" t="s">
        <v>224</v>
      </c>
      <c r="F201" s="3">
        <v>9</v>
      </c>
      <c r="G201" s="362">
        <v>41</v>
      </c>
      <c r="H201" s="246">
        <f t="shared" si="207"/>
        <v>1566.72</v>
      </c>
      <c r="I201" s="246">
        <f t="shared" si="204"/>
        <v>1652.23</v>
      </c>
      <c r="J201" s="56">
        <f t="shared" si="172"/>
        <v>67741.43000000001</v>
      </c>
      <c r="K201" s="57">
        <f t="shared" si="149"/>
        <v>64235.520000000004</v>
      </c>
      <c r="L201" s="58">
        <f t="shared" si="201"/>
        <v>3505.9100000000035</v>
      </c>
      <c r="M201" s="55">
        <f t="shared" si="151"/>
        <v>160.17645789178752</v>
      </c>
      <c r="N201" s="29">
        <f t="shared" si="202"/>
        <v>3666.086457891791</v>
      </c>
      <c r="O201" s="16">
        <f t="shared" si="208"/>
        <v>14</v>
      </c>
      <c r="P201" s="16">
        <f t="shared" si="209"/>
        <v>91</v>
      </c>
      <c r="Q201" s="16">
        <f t="shared" si="210"/>
        <v>92</v>
      </c>
      <c r="R201" s="16">
        <f t="shared" si="197"/>
        <v>92</v>
      </c>
      <c r="S201" s="16">
        <f t="shared" si="197"/>
        <v>90</v>
      </c>
      <c r="T201" s="16">
        <f t="shared" si="197"/>
        <v>91</v>
      </c>
      <c r="U201" s="16">
        <f t="shared" si="197"/>
        <v>0</v>
      </c>
      <c r="V201" s="106">
        <f aca="true" t="shared" si="212" ref="V201:V211">IF(W$8&lt;V$8,0,IF($D201&lt;V$8,V$12,IF($D201&lt;W$8,W$8-$D201,0)))</f>
        <v>0</v>
      </c>
      <c r="W201" s="141">
        <f aca="true" t="shared" si="213" ref="W201:W211">$L201*O$11*O201</f>
        <v>4.370380958904114</v>
      </c>
      <c r="X201" s="63">
        <f>($L201+SUM($W201:W201))*(P$11*P201)</f>
        <v>30.251564265748794</v>
      </c>
      <c r="Y201" s="63">
        <f>($L201+SUM($W201:X201))*(Q$11*Q201)</f>
        <v>31.234281818146286</v>
      </c>
      <c r="Z201" s="63">
        <f>($L201+SUM($W201:Y201))*(R$11*R201)</f>
        <v>31.50982808514473</v>
      </c>
      <c r="AA201" s="63">
        <f>($L201+SUM($W201:Z201))*(S$11*S201)</f>
        <v>31.096765955213797</v>
      </c>
      <c r="AB201" s="63">
        <f>($L201+SUM($W201:AA201))*(T$11*T201)</f>
        <v>31.71363680862978</v>
      </c>
      <c r="AC201" s="63">
        <f>($L201+SUM($W201:AB201))*(U$11*U201)</f>
        <v>0</v>
      </c>
      <c r="AD201" s="63">
        <f>($L201+SUM($W201:AC201))*(V$11*V201)</f>
        <v>0</v>
      </c>
      <c r="AE201" s="110">
        <f t="shared" si="211"/>
        <v>160.17645789178752</v>
      </c>
    </row>
    <row r="202" spans="1:31" ht="12.75">
      <c r="A202" s="3">
        <v>3</v>
      </c>
      <c r="B202" s="15">
        <f t="shared" si="171"/>
        <v>42430</v>
      </c>
      <c r="C202" s="243">
        <f t="shared" si="206"/>
        <v>42465</v>
      </c>
      <c r="D202" s="243">
        <f t="shared" si="206"/>
        <v>42480</v>
      </c>
      <c r="E202" s="70" t="s">
        <v>224</v>
      </c>
      <c r="F202" s="3">
        <v>9</v>
      </c>
      <c r="G202" s="362">
        <v>39</v>
      </c>
      <c r="H202" s="246">
        <f t="shared" si="207"/>
        <v>1566.72</v>
      </c>
      <c r="I202" s="246">
        <f t="shared" si="204"/>
        <v>1652.23</v>
      </c>
      <c r="J202" s="56">
        <f t="shared" si="172"/>
        <v>64436.97</v>
      </c>
      <c r="K202" s="57">
        <f t="shared" si="149"/>
        <v>61102.08</v>
      </c>
      <c r="L202" s="58">
        <f>+J202-K202</f>
        <v>3334.8899999999994</v>
      </c>
      <c r="M202" s="55">
        <f t="shared" si="151"/>
        <v>141.80779468689255</v>
      </c>
      <c r="N202" s="29">
        <f>SUM(L202:M202)</f>
        <v>3476.697794686892</v>
      </c>
      <c r="O202" s="16">
        <f t="shared" si="208"/>
        <v>0</v>
      </c>
      <c r="P202" s="16">
        <f t="shared" si="209"/>
        <v>72</v>
      </c>
      <c r="Q202" s="16">
        <f t="shared" si="210"/>
        <v>92</v>
      </c>
      <c r="R202" s="16">
        <f t="shared" si="197"/>
        <v>92</v>
      </c>
      <c r="S202" s="16">
        <f t="shared" si="197"/>
        <v>90</v>
      </c>
      <c r="T202" s="16">
        <f t="shared" si="197"/>
        <v>91</v>
      </c>
      <c r="U202" s="16">
        <f t="shared" si="197"/>
        <v>0</v>
      </c>
      <c r="V202" s="106">
        <f t="shared" si="212"/>
        <v>0</v>
      </c>
      <c r="W202" s="141">
        <f t="shared" si="213"/>
        <v>0</v>
      </c>
      <c r="X202" s="63">
        <f>($L202+SUM($W202:W202))*(P$11*P202)</f>
        <v>22.739381457534243</v>
      </c>
      <c r="Y202" s="63">
        <f>($L202+SUM($W202:X202))*(Q$11*Q202)</f>
        <v>29.620730433680166</v>
      </c>
      <c r="Z202" s="63">
        <f>($L202+SUM($W202:Y202))*(R$11*R202)</f>
        <v>29.882042082985507</v>
      </c>
      <c r="AA202" s="63">
        <f>($L202+SUM($W202:Z202))*(S$11*S202)</f>
        <v>29.490318589092407</v>
      </c>
      <c r="AB202" s="63">
        <f>($L202+SUM($W202:AA202))*(T$11*T202)</f>
        <v>30.075322123600234</v>
      </c>
      <c r="AC202" s="63">
        <f>($L202+SUM($W202:AB202))*(U$11*U202)</f>
        <v>0</v>
      </c>
      <c r="AD202" s="63">
        <f>($L202+SUM($W202:AC202))*(V$11*V202)</f>
        <v>0</v>
      </c>
      <c r="AE202" s="110">
        <f t="shared" si="211"/>
        <v>141.80779468689255</v>
      </c>
    </row>
    <row r="203" spans="1:31" ht="12.75">
      <c r="A203" s="16">
        <v>4</v>
      </c>
      <c r="B203" s="15">
        <f t="shared" si="171"/>
        <v>42461</v>
      </c>
      <c r="C203" s="243">
        <f t="shared" si="206"/>
        <v>42494</v>
      </c>
      <c r="D203" s="243">
        <f t="shared" si="206"/>
        <v>42509</v>
      </c>
      <c r="E203" s="30" t="s">
        <v>224</v>
      </c>
      <c r="F203" s="3">
        <v>9</v>
      </c>
      <c r="G203" s="362">
        <v>38</v>
      </c>
      <c r="H203" s="246">
        <f t="shared" si="207"/>
        <v>1566.72</v>
      </c>
      <c r="I203" s="246">
        <f t="shared" si="204"/>
        <v>1652.23</v>
      </c>
      <c r="J203" s="56">
        <f t="shared" si="172"/>
        <v>62784.74</v>
      </c>
      <c r="K203" s="57">
        <f t="shared" si="149"/>
        <v>59535.36</v>
      </c>
      <c r="L203" s="58">
        <f aca="true" t="shared" si="214" ref="L203:L213">+J203-K203</f>
        <v>3249.3799999999974</v>
      </c>
      <c r="M203" s="55">
        <f t="shared" si="151"/>
        <v>128.9311579752768</v>
      </c>
      <c r="N203" s="29">
        <f aca="true" t="shared" si="215" ref="N203:N213">SUM(L203:M203)</f>
        <v>3378.311157975274</v>
      </c>
      <c r="O203" s="16">
        <f aca="true" t="shared" si="216" ref="O203:U203">IF($D203&lt;O$8,O$12,IF($D203&lt;P$8,P$8-$D203,0))</f>
        <v>0</v>
      </c>
      <c r="P203" s="16">
        <f t="shared" si="216"/>
        <v>43</v>
      </c>
      <c r="Q203" s="16">
        <f t="shared" si="216"/>
        <v>92</v>
      </c>
      <c r="R203" s="16">
        <f t="shared" si="216"/>
        <v>92</v>
      </c>
      <c r="S203" s="16">
        <f t="shared" si="216"/>
        <v>90</v>
      </c>
      <c r="T203" s="16">
        <f t="shared" si="216"/>
        <v>91</v>
      </c>
      <c r="U203" s="16">
        <f t="shared" si="216"/>
        <v>0</v>
      </c>
      <c r="V203" s="106">
        <f>IF(W$8&lt;V$8,0,IF($D203&lt;V$8,V$12,IF($D203&lt;W$8,W$8-$D203,0)))</f>
        <v>0</v>
      </c>
      <c r="W203" s="141">
        <f>$L203*O$11*O203</f>
        <v>0</v>
      </c>
      <c r="X203" s="63">
        <f>($L203+SUM($W203:W203))*(P$11*P203)</f>
        <v>13.232246902283094</v>
      </c>
      <c r="Y203" s="63">
        <f>($L203+SUM($W203:X203))*(Q$11*Q203)</f>
        <v>28.782497082261216</v>
      </c>
      <c r="Z203" s="63">
        <f>($L203+SUM($W203:Y203))*(R$11*R203)</f>
        <v>29.036413905836234</v>
      </c>
      <c r="AA203" s="63">
        <f>($L203+SUM($W203:Z203))*(S$11*S203)</f>
        <v>28.655775746177238</v>
      </c>
      <c r="AB203" s="63">
        <f>($L203+SUM($W203:AA203))*(T$11*T203)</f>
        <v>29.224224338718983</v>
      </c>
      <c r="AC203" s="63">
        <f>($L203+SUM($W203:AB203))*(U$11*U203)</f>
        <v>0</v>
      </c>
      <c r="AD203" s="63">
        <f>($L203+SUM($W203:AC203))*(V$11*V203)</f>
        <v>0</v>
      </c>
      <c r="AE203" s="110">
        <f>SUM(W203:AD203)</f>
        <v>128.9311579752768</v>
      </c>
    </row>
    <row r="204" spans="1:31" ht="12.75">
      <c r="A204" s="3">
        <v>5</v>
      </c>
      <c r="B204" s="15">
        <f t="shared" si="171"/>
        <v>42491</v>
      </c>
      <c r="C204" s="243">
        <f t="shared" si="206"/>
        <v>42524</v>
      </c>
      <c r="D204" s="243">
        <f t="shared" si="206"/>
        <v>42541</v>
      </c>
      <c r="E204" s="30" t="s">
        <v>224</v>
      </c>
      <c r="F204" s="3">
        <v>9</v>
      </c>
      <c r="G204" s="362">
        <v>48</v>
      </c>
      <c r="H204" s="246">
        <f t="shared" si="207"/>
        <v>1566.72</v>
      </c>
      <c r="I204" s="246">
        <f t="shared" si="204"/>
        <v>1652.23</v>
      </c>
      <c r="J204" s="56">
        <f t="shared" si="172"/>
        <v>79307.04000000001</v>
      </c>
      <c r="K204" s="57">
        <f t="shared" si="149"/>
        <v>75202.56</v>
      </c>
      <c r="L204" s="58">
        <f t="shared" si="214"/>
        <v>4104.4800000000105</v>
      </c>
      <c r="M204" s="55">
        <f t="shared" si="151"/>
        <v>149.98067455973492</v>
      </c>
      <c r="N204" s="29">
        <f t="shared" si="215"/>
        <v>4254.460674559746</v>
      </c>
      <c r="O204" s="16">
        <f t="shared" si="208"/>
        <v>0</v>
      </c>
      <c r="P204" s="16">
        <f t="shared" si="209"/>
        <v>11</v>
      </c>
      <c r="Q204" s="16">
        <f t="shared" si="210"/>
        <v>92</v>
      </c>
      <c r="R204" s="16">
        <f t="shared" si="197"/>
        <v>92</v>
      </c>
      <c r="S204" s="16">
        <f t="shared" si="197"/>
        <v>90</v>
      </c>
      <c r="T204" s="16">
        <f t="shared" si="197"/>
        <v>91</v>
      </c>
      <c r="U204" s="16">
        <f t="shared" si="197"/>
        <v>0</v>
      </c>
      <c r="V204" s="106">
        <f t="shared" si="212"/>
        <v>0</v>
      </c>
      <c r="W204" s="141">
        <f t="shared" si="213"/>
        <v>0</v>
      </c>
      <c r="X204" s="63">
        <f>($L204+SUM($W204:W204))*(P$11*P204)</f>
        <v>4.275781128767134</v>
      </c>
      <c r="Y204" s="63">
        <f>($L204+SUM($W204:X204))*(Q$11*Q204)</f>
        <v>36.24710579516347</v>
      </c>
      <c r="Z204" s="63">
        <f>($L204+SUM($W204:Y204))*(R$11*R204)</f>
        <v>36.56687478327423</v>
      </c>
      <c r="AA204" s="63">
        <f>($L204+SUM($W204:Z204))*(S$11*S204)</f>
        <v>36.08751986130885</v>
      </c>
      <c r="AB204" s="63">
        <f>($L204+SUM($W204:AA204))*(T$11*T204)</f>
        <v>36.80339299122123</v>
      </c>
      <c r="AC204" s="63">
        <f>($L204+SUM($W204:AB204))*(U$11*U204)</f>
        <v>0</v>
      </c>
      <c r="AD204" s="63">
        <f>($L204+SUM($W204:AC204))*(V$11*V204)</f>
        <v>0</v>
      </c>
      <c r="AE204" s="110">
        <f t="shared" si="211"/>
        <v>149.98067455973492</v>
      </c>
    </row>
    <row r="205" spans="1:31" ht="12.75">
      <c r="A205" s="3">
        <v>6</v>
      </c>
      <c r="B205" s="15">
        <f t="shared" si="171"/>
        <v>42522</v>
      </c>
      <c r="C205" s="243">
        <f t="shared" si="206"/>
        <v>42557</v>
      </c>
      <c r="D205" s="243">
        <f t="shared" si="206"/>
        <v>42572</v>
      </c>
      <c r="E205" s="30" t="s">
        <v>224</v>
      </c>
      <c r="F205" s="3">
        <v>9</v>
      </c>
      <c r="G205" s="362">
        <v>55</v>
      </c>
      <c r="H205" s="246">
        <f t="shared" si="207"/>
        <v>1566.72</v>
      </c>
      <c r="I205" s="246">
        <f t="shared" si="204"/>
        <v>1652.23</v>
      </c>
      <c r="J205" s="56">
        <f t="shared" si="172"/>
        <v>90872.65</v>
      </c>
      <c r="K205" s="57">
        <f t="shared" si="149"/>
        <v>86169.6</v>
      </c>
      <c r="L205" s="77">
        <f t="shared" si="214"/>
        <v>4703.049999999988</v>
      </c>
      <c r="M205" s="78">
        <f t="shared" si="151"/>
        <v>157.5220546955453</v>
      </c>
      <c r="N205" s="76">
        <f t="shared" si="215"/>
        <v>4860.572054695534</v>
      </c>
      <c r="O205" s="16">
        <f t="shared" si="208"/>
        <v>0</v>
      </c>
      <c r="P205" s="16">
        <f t="shared" si="209"/>
        <v>0</v>
      </c>
      <c r="Q205" s="16">
        <f t="shared" si="210"/>
        <v>72</v>
      </c>
      <c r="R205" s="16">
        <f t="shared" si="197"/>
        <v>92</v>
      </c>
      <c r="S205" s="16">
        <f t="shared" si="197"/>
        <v>90</v>
      </c>
      <c r="T205" s="16">
        <f t="shared" si="197"/>
        <v>91</v>
      </c>
      <c r="U205" s="16">
        <f t="shared" si="197"/>
        <v>0</v>
      </c>
      <c r="V205" s="106">
        <f t="shared" si="212"/>
        <v>0</v>
      </c>
      <c r="W205" s="141">
        <f t="shared" si="213"/>
        <v>0</v>
      </c>
      <c r="X205" s="63">
        <f>($L205+SUM($W205:W205))*(P$11*P205)</f>
        <v>0</v>
      </c>
      <c r="Y205" s="63">
        <f>($L205+SUM($W205:X205))*(Q$11*Q205)</f>
        <v>32.47037260273965</v>
      </c>
      <c r="Z205" s="63">
        <f>($L205+SUM($W205:Y205))*(R$11*R205)</f>
        <v>41.776371506248736</v>
      </c>
      <c r="AA205" s="63">
        <f>($L205+SUM($W205:Z205))*(S$11*S205)</f>
        <v>41.22872532587199</v>
      </c>
      <c r="AB205" s="63">
        <f>($L205+SUM($W205:AA205))*(T$11*T205)</f>
        <v>42.046585260684914</v>
      </c>
      <c r="AC205" s="63">
        <f>($L205+SUM($W205:AB205))*(U$11*U205)</f>
        <v>0</v>
      </c>
      <c r="AD205" s="63">
        <f>($L205+SUM($W205:AC205))*(V$11*V205)</f>
        <v>0</v>
      </c>
      <c r="AE205" s="110">
        <f t="shared" si="211"/>
        <v>157.5220546955453</v>
      </c>
    </row>
    <row r="206" spans="1:31" ht="12.75">
      <c r="A206" s="16">
        <v>7</v>
      </c>
      <c r="B206" s="15">
        <f t="shared" si="171"/>
        <v>42552</v>
      </c>
      <c r="C206" s="243">
        <f t="shared" si="206"/>
        <v>42585</v>
      </c>
      <c r="D206" s="243">
        <f t="shared" si="206"/>
        <v>42600</v>
      </c>
      <c r="E206" s="30" t="s">
        <v>224</v>
      </c>
      <c r="F206" s="3">
        <v>9</v>
      </c>
      <c r="G206" s="362">
        <v>59</v>
      </c>
      <c r="H206" s="246">
        <f aca="true" t="shared" si="217" ref="H206:H211">$K$8</f>
        <v>1623.7</v>
      </c>
      <c r="I206" s="246">
        <f t="shared" si="204"/>
        <v>1652.23</v>
      </c>
      <c r="J206" s="56">
        <f t="shared" si="172"/>
        <v>97481.57</v>
      </c>
      <c r="K206" s="74">
        <f t="shared" si="149"/>
        <v>95798.3</v>
      </c>
      <c r="L206" s="77">
        <f t="shared" si="214"/>
        <v>1683.270000000004</v>
      </c>
      <c r="M206" s="75">
        <f t="shared" si="151"/>
        <v>51.73995371297022</v>
      </c>
      <c r="N206" s="76">
        <f t="shared" si="215"/>
        <v>1735.0099537129743</v>
      </c>
      <c r="O206" s="16">
        <f t="shared" si="208"/>
        <v>0</v>
      </c>
      <c r="P206" s="16">
        <f t="shared" si="209"/>
        <v>0</v>
      </c>
      <c r="Q206" s="16">
        <f t="shared" si="210"/>
        <v>44</v>
      </c>
      <c r="R206" s="16">
        <f t="shared" si="197"/>
        <v>92</v>
      </c>
      <c r="S206" s="16">
        <f t="shared" si="197"/>
        <v>90</v>
      </c>
      <c r="T206" s="16">
        <f t="shared" si="197"/>
        <v>91</v>
      </c>
      <c r="U206" s="16">
        <f t="shared" si="197"/>
        <v>0</v>
      </c>
      <c r="V206" s="106">
        <f t="shared" si="212"/>
        <v>0</v>
      </c>
      <c r="W206" s="141">
        <f t="shared" si="213"/>
        <v>0</v>
      </c>
      <c r="X206" s="63">
        <f>($L206+SUM($W206:W206))*(P$11*P206)</f>
        <v>0</v>
      </c>
      <c r="Y206" s="63">
        <f>($L206+SUM($W206:X206))*(Q$11*Q206)</f>
        <v>7.102015890410978</v>
      </c>
      <c r="Z206" s="63">
        <f>($L206+SUM($W206:Y206))*(R$11*R206)</f>
        <v>14.912322989499005</v>
      </c>
      <c r="AA206" s="63">
        <f>($L206+SUM($W206:Z206))*(S$11*S206)</f>
        <v>14.716837445128027</v>
      </c>
      <c r="AB206" s="63">
        <f>($L206+SUM($W206:AA206))*(T$11*T206)</f>
        <v>15.008777387932216</v>
      </c>
      <c r="AC206" s="63">
        <f>($L206+SUM($W206:AB206))*(U$11*U206)</f>
        <v>0</v>
      </c>
      <c r="AD206" s="63">
        <f>($L206+SUM($W206:AC206))*(V$11*V206)</f>
        <v>0</v>
      </c>
      <c r="AE206" s="110">
        <f t="shared" si="211"/>
        <v>51.73995371297022</v>
      </c>
    </row>
    <row r="207" spans="1:31" ht="12.75">
      <c r="A207" s="3">
        <v>8</v>
      </c>
      <c r="B207" s="15">
        <f t="shared" si="171"/>
        <v>42583</v>
      </c>
      <c r="C207" s="243">
        <f t="shared" si="206"/>
        <v>42619</v>
      </c>
      <c r="D207" s="243">
        <f t="shared" si="206"/>
        <v>42634</v>
      </c>
      <c r="E207" s="30" t="s">
        <v>224</v>
      </c>
      <c r="F207" s="3">
        <v>9</v>
      </c>
      <c r="G207" s="362">
        <v>59</v>
      </c>
      <c r="H207" s="246">
        <f t="shared" si="217"/>
        <v>1623.7</v>
      </c>
      <c r="I207" s="246">
        <f t="shared" si="204"/>
        <v>1652.23</v>
      </c>
      <c r="J207" s="56">
        <f t="shared" si="172"/>
        <v>97481.57</v>
      </c>
      <c r="K207" s="74">
        <f t="shared" si="149"/>
        <v>95798.3</v>
      </c>
      <c r="L207" s="77">
        <f t="shared" si="214"/>
        <v>1683.270000000004</v>
      </c>
      <c r="M207" s="75">
        <f t="shared" si="151"/>
        <v>46.10711188146905</v>
      </c>
      <c r="N207" s="76">
        <f t="shared" si="215"/>
        <v>1729.3771118814732</v>
      </c>
      <c r="O207" s="16">
        <f t="shared" si="208"/>
        <v>0</v>
      </c>
      <c r="P207" s="16">
        <f t="shared" si="209"/>
        <v>0</v>
      </c>
      <c r="Q207" s="16">
        <f t="shared" si="210"/>
        <v>10</v>
      </c>
      <c r="R207" s="16">
        <f t="shared" si="197"/>
        <v>92</v>
      </c>
      <c r="S207" s="16">
        <f t="shared" si="197"/>
        <v>90</v>
      </c>
      <c r="T207" s="16">
        <f t="shared" si="197"/>
        <v>91</v>
      </c>
      <c r="U207" s="16">
        <f t="shared" si="197"/>
        <v>0</v>
      </c>
      <c r="V207" s="106">
        <f t="shared" si="212"/>
        <v>0</v>
      </c>
      <c r="W207" s="141">
        <f t="shared" si="213"/>
        <v>0</v>
      </c>
      <c r="X207" s="63">
        <f>($L207+SUM($W207:W207))*(P$11*P207)</f>
        <v>0</v>
      </c>
      <c r="Y207" s="63">
        <f>($L207+SUM($W207:X207))*(Q$11*Q207)</f>
        <v>1.6140945205479493</v>
      </c>
      <c r="Z207" s="63">
        <f>($L207+SUM($W207:Y207))*(R$11*R207)</f>
        <v>14.863908998236106</v>
      </c>
      <c r="AA207" s="63">
        <f>($L207+SUM($W207:Z207))*(S$11*S207)</f>
        <v>14.669058112559407</v>
      </c>
      <c r="AB207" s="63">
        <f>($L207+SUM($W207:AA207))*(T$11*T207)</f>
        <v>14.960050250125594</v>
      </c>
      <c r="AC207" s="63">
        <f>($L207+SUM($W207:AB207))*(U$11*U207)</f>
        <v>0</v>
      </c>
      <c r="AD207" s="63">
        <f>($L207+SUM($W207:AC207))*(V$11*V207)</f>
        <v>0</v>
      </c>
      <c r="AE207" s="110">
        <f t="shared" si="211"/>
        <v>46.10711188146905</v>
      </c>
    </row>
    <row r="208" spans="1:31" ht="12.75">
      <c r="A208" s="3">
        <v>9</v>
      </c>
      <c r="B208" s="15">
        <f t="shared" si="171"/>
        <v>42614</v>
      </c>
      <c r="C208" s="243">
        <f t="shared" si="206"/>
        <v>42648</v>
      </c>
      <c r="D208" s="243">
        <f t="shared" si="206"/>
        <v>42663</v>
      </c>
      <c r="E208" s="30" t="s">
        <v>224</v>
      </c>
      <c r="F208" s="3">
        <v>9</v>
      </c>
      <c r="G208" s="362">
        <v>53</v>
      </c>
      <c r="H208" s="246">
        <f t="shared" si="217"/>
        <v>1623.7</v>
      </c>
      <c r="I208" s="246">
        <f t="shared" si="204"/>
        <v>1652.23</v>
      </c>
      <c r="J208" s="56">
        <f t="shared" si="172"/>
        <v>87568.19</v>
      </c>
      <c r="K208" s="74">
        <f t="shared" si="149"/>
        <v>86056.1</v>
      </c>
      <c r="L208" s="77">
        <f t="shared" si="214"/>
        <v>1512.0899999999965</v>
      </c>
      <c r="M208" s="75">
        <f t="shared" si="151"/>
        <v>37.12708895272938</v>
      </c>
      <c r="N208" s="76">
        <f t="shared" si="215"/>
        <v>1549.2170889527258</v>
      </c>
      <c r="O208" s="16">
        <f t="shared" si="208"/>
        <v>0</v>
      </c>
      <c r="P208" s="16">
        <f t="shared" si="209"/>
        <v>0</v>
      </c>
      <c r="Q208" s="16">
        <f t="shared" si="210"/>
        <v>0</v>
      </c>
      <c r="R208" s="16">
        <f aca="true" t="shared" si="218" ref="R208:R223">IF($D208&lt;R$8,R$12,IF($D208&lt;S$8,S$8-$D208,0))</f>
        <v>73</v>
      </c>
      <c r="S208" s="16">
        <f aca="true" t="shared" si="219" ref="S208:U223">IF($D208&lt;S$8,S$12,IF($D208&lt;T$8,T$8-$D208,0))</f>
        <v>90</v>
      </c>
      <c r="T208" s="16">
        <f t="shared" si="219"/>
        <v>91</v>
      </c>
      <c r="U208" s="16">
        <f t="shared" si="219"/>
        <v>0</v>
      </c>
      <c r="V208" s="106">
        <f t="shared" si="212"/>
        <v>0</v>
      </c>
      <c r="W208" s="141">
        <f t="shared" si="213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10.584629999999978</v>
      </c>
      <c r="AA208" s="63">
        <f>($L208+SUM($W208:Z208))*(S$11*S208)</f>
        <v>13.140890642465724</v>
      </c>
      <c r="AB208" s="63">
        <f>($L208+SUM($W208:AA208))*(T$11*T208)</f>
        <v>13.401568310263677</v>
      </c>
      <c r="AC208" s="63">
        <f>($L208+SUM($W208:AB208))*(U$11*U208)</f>
        <v>0</v>
      </c>
      <c r="AD208" s="63">
        <f>($L208+SUM($W208:AC208))*(V$11*V208)</f>
        <v>0</v>
      </c>
      <c r="AE208" s="110">
        <f t="shared" si="211"/>
        <v>37.12708895272938</v>
      </c>
    </row>
    <row r="209" spans="1:31" ht="12.75">
      <c r="A209" s="16">
        <v>10</v>
      </c>
      <c r="B209" s="15">
        <f t="shared" si="171"/>
        <v>42644</v>
      </c>
      <c r="C209" s="243">
        <f t="shared" si="206"/>
        <v>42677</v>
      </c>
      <c r="D209" s="243">
        <f t="shared" si="206"/>
        <v>42692</v>
      </c>
      <c r="E209" s="30" t="s">
        <v>224</v>
      </c>
      <c r="F209" s="3">
        <v>9</v>
      </c>
      <c r="G209" s="362">
        <v>49</v>
      </c>
      <c r="H209" s="246">
        <f t="shared" si="217"/>
        <v>1623.7</v>
      </c>
      <c r="I209" s="246">
        <f t="shared" si="204"/>
        <v>1652.23</v>
      </c>
      <c r="J209" s="56">
        <f t="shared" si="172"/>
        <v>80959.27</v>
      </c>
      <c r="K209" s="74">
        <f t="shared" si="149"/>
        <v>79561.3</v>
      </c>
      <c r="L209" s="77">
        <f t="shared" si="214"/>
        <v>1397.9700000000012</v>
      </c>
      <c r="M209" s="75">
        <f t="shared" si="151"/>
        <v>30.36977394485384</v>
      </c>
      <c r="N209" s="76">
        <f t="shared" si="215"/>
        <v>1428.339773944855</v>
      </c>
      <c r="O209" s="16">
        <f t="shared" si="208"/>
        <v>0</v>
      </c>
      <c r="P209" s="16">
        <f t="shared" si="209"/>
        <v>0</v>
      </c>
      <c r="Q209" s="16">
        <f t="shared" si="210"/>
        <v>0</v>
      </c>
      <c r="R209" s="16">
        <f t="shared" si="218"/>
        <v>44</v>
      </c>
      <c r="S209" s="16">
        <f t="shared" si="219"/>
        <v>90</v>
      </c>
      <c r="T209" s="16">
        <f t="shared" si="219"/>
        <v>91</v>
      </c>
      <c r="U209" s="16">
        <f t="shared" si="219"/>
        <v>0</v>
      </c>
      <c r="V209" s="106">
        <f t="shared" si="212"/>
        <v>0</v>
      </c>
      <c r="W209" s="141">
        <f t="shared" si="213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5.89828438356165</v>
      </c>
      <c r="AA209" s="63">
        <f>($L209+SUM($W209:Z209))*(S$11*S209)</f>
        <v>12.115575604954037</v>
      </c>
      <c r="AB209" s="63">
        <f>($L209+SUM($W209:AA209))*(T$11*T209)</f>
        <v>12.355913956338153</v>
      </c>
      <c r="AC209" s="63">
        <f>($L209+SUM($W209:AB209))*(U$11*U209)</f>
        <v>0</v>
      </c>
      <c r="AD209" s="63">
        <f>($L209+SUM($W209:AC209))*(V$11*V209)</f>
        <v>0</v>
      </c>
      <c r="AE209" s="110">
        <f t="shared" si="211"/>
        <v>30.36977394485384</v>
      </c>
    </row>
    <row r="210" spans="1:31" ht="12.75">
      <c r="A210" s="3">
        <v>11</v>
      </c>
      <c r="B210" s="15">
        <f t="shared" si="171"/>
        <v>42675</v>
      </c>
      <c r="C210" s="243">
        <f t="shared" si="206"/>
        <v>42709</v>
      </c>
      <c r="D210" s="243">
        <f t="shared" si="206"/>
        <v>42724</v>
      </c>
      <c r="E210" s="30" t="s">
        <v>224</v>
      </c>
      <c r="F210" s="3">
        <v>9</v>
      </c>
      <c r="G210" s="362">
        <v>43</v>
      </c>
      <c r="H210" s="246">
        <f t="shared" si="217"/>
        <v>1623.7</v>
      </c>
      <c r="I210" s="246">
        <f t="shared" si="204"/>
        <v>1652.23</v>
      </c>
      <c r="J210" s="56">
        <f t="shared" si="172"/>
        <v>71045.89</v>
      </c>
      <c r="K210" s="74">
        <f aca="true" t="shared" si="220" ref="K210:K221">+$G210*H210</f>
        <v>69819.1</v>
      </c>
      <c r="L210" s="77">
        <f t="shared" si="214"/>
        <v>1226.7899999999936</v>
      </c>
      <c r="M210" s="75">
        <f t="shared" si="151"/>
        <v>22.821010429684012</v>
      </c>
      <c r="N210" s="76">
        <f t="shared" si="215"/>
        <v>1249.6110104296777</v>
      </c>
      <c r="O210" s="16">
        <f t="shared" si="208"/>
        <v>0</v>
      </c>
      <c r="P210" s="16">
        <f t="shared" si="209"/>
        <v>0</v>
      </c>
      <c r="Q210" s="16">
        <f t="shared" si="210"/>
        <v>0</v>
      </c>
      <c r="R210" s="16">
        <f t="shared" si="218"/>
        <v>12</v>
      </c>
      <c r="S210" s="16">
        <f t="shared" si="219"/>
        <v>90</v>
      </c>
      <c r="T210" s="16">
        <f t="shared" si="219"/>
        <v>91</v>
      </c>
      <c r="U210" s="16">
        <f t="shared" si="219"/>
        <v>0</v>
      </c>
      <c r="V210" s="106">
        <f t="shared" si="212"/>
        <v>0</v>
      </c>
      <c r="W210" s="141">
        <f t="shared" si="213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1.4116487671232805</v>
      </c>
      <c r="AA210" s="63">
        <f>($L210+SUM($W210:Z210))*(S$11*S210)</f>
        <v>10.59954847566142</v>
      </c>
      <c r="AB210" s="63">
        <f>($L210+SUM($W210:AA210))*(T$11*T210)</f>
        <v>10.809813186899312</v>
      </c>
      <c r="AC210" s="63">
        <f>($L210+SUM($W210:AB210))*(U$11*U210)</f>
        <v>0</v>
      </c>
      <c r="AD210" s="63">
        <f>($L210+SUM($W210:AC210))*(V$11*V210)</f>
        <v>0</v>
      </c>
      <c r="AE210" s="110">
        <f t="shared" si="211"/>
        <v>22.821010429684012</v>
      </c>
    </row>
    <row r="211" spans="1:31" s="69" customFormat="1" ht="12.75">
      <c r="A211" s="3">
        <v>12</v>
      </c>
      <c r="B211" s="83">
        <f t="shared" si="171"/>
        <v>42705</v>
      </c>
      <c r="C211" s="243">
        <f t="shared" si="206"/>
        <v>42740</v>
      </c>
      <c r="D211" s="243">
        <f t="shared" si="206"/>
        <v>42755</v>
      </c>
      <c r="E211" s="84" t="s">
        <v>224</v>
      </c>
      <c r="F211" s="81">
        <v>9</v>
      </c>
      <c r="G211" s="363">
        <v>45</v>
      </c>
      <c r="H211" s="247">
        <f t="shared" si="217"/>
        <v>1623.7</v>
      </c>
      <c r="I211" s="247">
        <f t="shared" si="204"/>
        <v>1652.23</v>
      </c>
      <c r="J211" s="85">
        <f t="shared" si="172"/>
        <v>74350.35</v>
      </c>
      <c r="K211" s="86">
        <f t="shared" si="220"/>
        <v>73066.5</v>
      </c>
      <c r="L211" s="87">
        <f t="shared" si="214"/>
        <v>1283.8500000000058</v>
      </c>
      <c r="M211" s="88">
        <f t="shared" si="151"/>
        <v>20.019914334331112</v>
      </c>
      <c r="N211" s="89">
        <f t="shared" si="215"/>
        <v>1303.869914334337</v>
      </c>
      <c r="O211" s="81">
        <f t="shared" si="208"/>
        <v>0</v>
      </c>
      <c r="P211" s="81">
        <f t="shared" si="209"/>
        <v>0</v>
      </c>
      <c r="Q211" s="81">
        <f t="shared" si="210"/>
        <v>0</v>
      </c>
      <c r="R211" s="81">
        <f t="shared" si="218"/>
        <v>0</v>
      </c>
      <c r="S211" s="81">
        <f t="shared" si="219"/>
        <v>71</v>
      </c>
      <c r="T211" s="81">
        <f t="shared" si="219"/>
        <v>91</v>
      </c>
      <c r="U211" s="81">
        <f t="shared" si="219"/>
        <v>0</v>
      </c>
      <c r="V211" s="107">
        <f t="shared" si="212"/>
        <v>0</v>
      </c>
      <c r="W211" s="142">
        <f t="shared" si="213"/>
        <v>0</v>
      </c>
      <c r="X211" s="90">
        <f>($L211+SUM($W211:W211))*(P$11*P211)</f>
        <v>0</v>
      </c>
      <c r="Y211" s="90">
        <f>($L211+SUM($W211:X211))*(Q$11*Q211)</f>
        <v>0</v>
      </c>
      <c r="Z211" s="90">
        <f>($L211+SUM($W211:Y211))*(R$11*R211)</f>
        <v>0</v>
      </c>
      <c r="AA211" s="90">
        <f>($L211+SUM($W211:Z211))*(S$11*S211)</f>
        <v>8.740732191780863</v>
      </c>
      <c r="AB211" s="90">
        <f>($L211+SUM($W211:AA211))*(T$11*T211)</f>
        <v>11.279182142550248</v>
      </c>
      <c r="AC211" s="90">
        <f>($L211+SUM($W211:AB211))*(U$11*U211)</f>
        <v>0</v>
      </c>
      <c r="AD211" s="90">
        <f>($L211+SUM($W211:AC211))*(V$11*V211)</f>
        <v>0</v>
      </c>
      <c r="AE211" s="111">
        <f t="shared" si="211"/>
        <v>20.019914334331112</v>
      </c>
    </row>
    <row r="212" spans="1:31" ht="12.75">
      <c r="A212" s="16">
        <v>1</v>
      </c>
      <c r="B212" s="15">
        <f t="shared" si="171"/>
        <v>42370</v>
      </c>
      <c r="C212" s="242">
        <f t="shared" si="206"/>
        <v>42403</v>
      </c>
      <c r="D212" s="242">
        <f t="shared" si="206"/>
        <v>42418</v>
      </c>
      <c r="E212" s="118" t="s">
        <v>142</v>
      </c>
      <c r="F212" s="16">
        <v>9</v>
      </c>
      <c r="G212" s="362">
        <v>97</v>
      </c>
      <c r="H212" s="246">
        <f aca="true" t="shared" si="221" ref="H212:H217">$K$3</f>
        <v>1566.72</v>
      </c>
      <c r="I212" s="246">
        <f t="shared" si="204"/>
        <v>1652.23</v>
      </c>
      <c r="J212" s="56">
        <f t="shared" si="172"/>
        <v>160266.31</v>
      </c>
      <c r="K212" s="57">
        <f t="shared" si="220"/>
        <v>151971.84</v>
      </c>
      <c r="L212" s="58">
        <f t="shared" si="214"/>
        <v>8294.470000000001</v>
      </c>
      <c r="M212" s="55">
        <f aca="true" t="shared" si="222" ref="M212:M223">+AE212</f>
        <v>401.3226191356112</v>
      </c>
      <c r="N212" s="29">
        <f t="shared" si="215"/>
        <v>8695.792619135613</v>
      </c>
      <c r="O212" s="16">
        <f t="shared" si="208"/>
        <v>43</v>
      </c>
      <c r="P212" s="16">
        <f t="shared" si="209"/>
        <v>91</v>
      </c>
      <c r="Q212" s="16">
        <f t="shared" si="210"/>
        <v>92</v>
      </c>
      <c r="R212" s="16">
        <f t="shared" si="218"/>
        <v>92</v>
      </c>
      <c r="S212" s="16">
        <f t="shared" si="219"/>
        <v>90</v>
      </c>
      <c r="T212" s="16">
        <f t="shared" si="219"/>
        <v>91</v>
      </c>
      <c r="U212" s="16">
        <f t="shared" si="219"/>
        <v>0</v>
      </c>
      <c r="V212" s="106">
        <f>IF(W$8&lt;V$8,0,IF($D212&lt;V$8,V$12,IF($D212&lt;W$8,W$8-$D212,0)))</f>
        <v>0</v>
      </c>
      <c r="W212" s="141">
        <f>$L212*O$11*O212</f>
        <v>31.757594041095892</v>
      </c>
      <c r="X212" s="63">
        <f>($L212+SUM($W212:W212))*(P$11*P212)</f>
        <v>71.75535336683801</v>
      </c>
      <c r="Y212" s="63">
        <f>($L212+SUM($W212:X212))*(Q$11*Q212)</f>
        <v>74.08631531685904</v>
      </c>
      <c r="Z212" s="63">
        <f>($L212+SUM($W212:Y212))*(R$11*R212)</f>
        <v>74.73989870129819</v>
      </c>
      <c r="AA212" s="63">
        <f>($L212+SUM($W212:Z212))*(S$11*S212)</f>
        <v>73.76013385888271</v>
      </c>
      <c r="AB212" s="63">
        <f>($L212+SUM($W212:AA212))*(T$11*T212)</f>
        <v>75.22332385063739</v>
      </c>
      <c r="AC212" s="63">
        <f>($L212+SUM($W212:AB212))*(U$11*U212)</f>
        <v>0</v>
      </c>
      <c r="AD212" s="63">
        <f>($L212+SUM($W212:AC212))*(V$11*V212)</f>
        <v>0</v>
      </c>
      <c r="AE212" s="110">
        <f t="shared" si="211"/>
        <v>401.3226191356112</v>
      </c>
    </row>
    <row r="213" spans="1:31" ht="12.75">
      <c r="A213" s="3">
        <v>2</v>
      </c>
      <c r="B213" s="15">
        <f t="shared" si="171"/>
        <v>42401</v>
      </c>
      <c r="C213" s="243">
        <f t="shared" si="206"/>
        <v>42432</v>
      </c>
      <c r="D213" s="243">
        <f t="shared" si="206"/>
        <v>42447</v>
      </c>
      <c r="E213" s="70" t="s">
        <v>142</v>
      </c>
      <c r="F213" s="3">
        <v>9</v>
      </c>
      <c r="G213" s="362">
        <v>93</v>
      </c>
      <c r="H213" s="246">
        <f t="shared" si="221"/>
        <v>1566.72</v>
      </c>
      <c r="I213" s="246">
        <f t="shared" si="204"/>
        <v>1652.23</v>
      </c>
      <c r="J213" s="56">
        <f t="shared" si="172"/>
        <v>153657.39</v>
      </c>
      <c r="K213" s="57">
        <f t="shared" si="220"/>
        <v>145704.96</v>
      </c>
      <c r="L213" s="58">
        <f t="shared" si="214"/>
        <v>7952.430000000022</v>
      </c>
      <c r="M213" s="55">
        <f t="shared" si="222"/>
        <v>363.3270874130796</v>
      </c>
      <c r="N213" s="29">
        <f t="shared" si="215"/>
        <v>8315.757087413102</v>
      </c>
      <c r="O213" s="16">
        <f aca="true" t="shared" si="223" ref="O213:U213">IF($D213&lt;O$8,O$12,IF($D213&lt;P$8,P$8-$D213,0))</f>
        <v>14</v>
      </c>
      <c r="P213" s="16">
        <f t="shared" si="223"/>
        <v>91</v>
      </c>
      <c r="Q213" s="16">
        <f t="shared" si="223"/>
        <v>92</v>
      </c>
      <c r="R213" s="16">
        <f t="shared" si="223"/>
        <v>92</v>
      </c>
      <c r="S213" s="16">
        <f t="shared" si="223"/>
        <v>90</v>
      </c>
      <c r="T213" s="16">
        <f t="shared" si="223"/>
        <v>91</v>
      </c>
      <c r="U213" s="16">
        <f t="shared" si="223"/>
        <v>0</v>
      </c>
      <c r="V213" s="106">
        <f>IF(W$8&lt;V$8,0,IF($D213&lt;V$8,V$12,IF($D213&lt;W$8,W$8-$D213,0)))</f>
        <v>0</v>
      </c>
      <c r="W213" s="141">
        <f>$L213*O$11*O213</f>
        <v>9.913303150684959</v>
      </c>
      <c r="X213" s="63">
        <f>($L213+SUM($W213:W213))*(P$11*P213)</f>
        <v>68.61940187108885</v>
      </c>
      <c r="Y213" s="63">
        <f>($L213+SUM($W213:X213))*(Q$11*Q213)</f>
        <v>70.84849290457585</v>
      </c>
      <c r="Z213" s="63">
        <f>($L213+SUM($W213:Y213))*(R$11*R213)</f>
        <v>71.47351248581623</v>
      </c>
      <c r="AA213" s="63">
        <f>($L213+SUM($W213:Z213))*(S$11*S213)</f>
        <v>70.53656667889972</v>
      </c>
      <c r="AB213" s="63">
        <f>($L213+SUM($W213:AA213))*(T$11*T213)</f>
        <v>71.935810322014</v>
      </c>
      <c r="AC213" s="63">
        <f>($L213+SUM($W213:AB213))*(U$11*U213)</f>
        <v>0</v>
      </c>
      <c r="AD213" s="63">
        <f>($L213+SUM($W213:AC213))*(V$11*V213)</f>
        <v>0</v>
      </c>
      <c r="AE213" s="110">
        <f>SUM(W213:AD213)</f>
        <v>363.3270874130796</v>
      </c>
    </row>
    <row r="214" spans="1:31" ht="12.75">
      <c r="A214" s="3">
        <v>3</v>
      </c>
      <c r="B214" s="15">
        <f t="shared" si="171"/>
        <v>42430</v>
      </c>
      <c r="C214" s="243">
        <f t="shared" si="206"/>
        <v>42465</v>
      </c>
      <c r="D214" s="243">
        <f t="shared" si="206"/>
        <v>42480</v>
      </c>
      <c r="E214" s="70" t="s">
        <v>142</v>
      </c>
      <c r="F214" s="3">
        <v>9</v>
      </c>
      <c r="G214" s="362">
        <v>95</v>
      </c>
      <c r="H214" s="246">
        <f t="shared" si="221"/>
        <v>1566.72</v>
      </c>
      <c r="I214" s="246">
        <f t="shared" si="204"/>
        <v>1652.23</v>
      </c>
      <c r="J214" s="56">
        <f t="shared" si="172"/>
        <v>156961.85</v>
      </c>
      <c r="K214" s="57">
        <f t="shared" si="220"/>
        <v>148838.4</v>
      </c>
      <c r="L214" s="58">
        <f>+J214-K214</f>
        <v>8123.450000000012</v>
      </c>
      <c r="M214" s="55">
        <f t="shared" si="222"/>
        <v>345.4292434680721</v>
      </c>
      <c r="N214" s="29">
        <f>SUM(L214:M214)</f>
        <v>8468.879243468084</v>
      </c>
      <c r="O214" s="16">
        <f t="shared" si="208"/>
        <v>0</v>
      </c>
      <c r="P214" s="16">
        <f t="shared" si="209"/>
        <v>72</v>
      </c>
      <c r="Q214" s="16">
        <f t="shared" si="210"/>
        <v>92</v>
      </c>
      <c r="R214" s="16">
        <f t="shared" si="218"/>
        <v>92</v>
      </c>
      <c r="S214" s="16">
        <f t="shared" si="219"/>
        <v>90</v>
      </c>
      <c r="T214" s="16">
        <f t="shared" si="219"/>
        <v>91</v>
      </c>
      <c r="U214" s="16">
        <f t="shared" si="219"/>
        <v>0</v>
      </c>
      <c r="V214" s="106">
        <f aca="true" t="shared" si="224" ref="V214:V223">IF(W$8&lt;V$8,0,IF($D214&lt;V$8,V$12,IF($D214&lt;W$8,W$8-$D214,0)))</f>
        <v>0</v>
      </c>
      <c r="W214" s="141">
        <f aca="true" t="shared" si="225" ref="W214:W223">$L214*O$11*O214</f>
        <v>0</v>
      </c>
      <c r="X214" s="63">
        <f>($L214+SUM($W214:W214))*(P$11*P214)</f>
        <v>55.39080098630145</v>
      </c>
      <c r="Y214" s="63">
        <f>($L214+SUM($W214:X214))*(Q$11*Q214)</f>
        <v>72.15306131281078</v>
      </c>
      <c r="Z214" s="63">
        <f>($L214+SUM($W214:Y214))*(R$11*R214)</f>
        <v>72.78958968932378</v>
      </c>
      <c r="AA214" s="63">
        <f>($L214+SUM($W214:Z214))*(S$11*S214)</f>
        <v>71.8353914349688</v>
      </c>
      <c r="AB214" s="63">
        <f>($L214+SUM($W214:AA214))*(T$11*T214)</f>
        <v>73.26040004466735</v>
      </c>
      <c r="AC214" s="63">
        <f>($L214+SUM($W214:AB214))*(U$11*U214)</f>
        <v>0</v>
      </c>
      <c r="AD214" s="63">
        <f>($L214+SUM($W214:AC214))*(V$11*V214)</f>
        <v>0</v>
      </c>
      <c r="AE214" s="110">
        <f t="shared" si="211"/>
        <v>345.4292434680721</v>
      </c>
    </row>
    <row r="215" spans="1:31" ht="12.75">
      <c r="A215" s="16">
        <v>4</v>
      </c>
      <c r="B215" s="15">
        <f t="shared" si="171"/>
        <v>42461</v>
      </c>
      <c r="C215" s="243">
        <f t="shared" si="206"/>
        <v>42494</v>
      </c>
      <c r="D215" s="243">
        <f t="shared" si="206"/>
        <v>42509</v>
      </c>
      <c r="E215" s="70" t="s">
        <v>142</v>
      </c>
      <c r="F215" s="3">
        <v>9</v>
      </c>
      <c r="G215" s="362">
        <v>85</v>
      </c>
      <c r="H215" s="246">
        <f t="shared" si="221"/>
        <v>1566.72</v>
      </c>
      <c r="I215" s="246">
        <f t="shared" si="204"/>
        <v>1652.23</v>
      </c>
      <c r="J215" s="56">
        <f t="shared" si="172"/>
        <v>140439.55</v>
      </c>
      <c r="K215" s="57">
        <f t="shared" si="220"/>
        <v>133171.2</v>
      </c>
      <c r="L215" s="58">
        <f aca="true" t="shared" si="226" ref="L215:L223">+J215-K215</f>
        <v>7268.349999999977</v>
      </c>
      <c r="M215" s="55">
        <f t="shared" si="222"/>
        <v>288.3986428394342</v>
      </c>
      <c r="N215" s="29">
        <f aca="true" t="shared" si="227" ref="N215:N223">SUM(L215:M215)</f>
        <v>7556.748642839411</v>
      </c>
      <c r="O215" s="16">
        <f t="shared" si="208"/>
        <v>0</v>
      </c>
      <c r="P215" s="16">
        <f t="shared" si="209"/>
        <v>43</v>
      </c>
      <c r="Q215" s="16">
        <f t="shared" si="210"/>
        <v>92</v>
      </c>
      <c r="R215" s="16">
        <f t="shared" si="218"/>
        <v>92</v>
      </c>
      <c r="S215" s="16">
        <f t="shared" si="219"/>
        <v>90</v>
      </c>
      <c r="T215" s="16">
        <f t="shared" si="219"/>
        <v>91</v>
      </c>
      <c r="U215" s="16">
        <f t="shared" si="219"/>
        <v>0</v>
      </c>
      <c r="V215" s="106">
        <f t="shared" si="224"/>
        <v>0</v>
      </c>
      <c r="W215" s="141">
        <f t="shared" si="225"/>
        <v>0</v>
      </c>
      <c r="X215" s="63">
        <f>($L215+SUM($W215:W215))*(P$11*P215)</f>
        <v>29.598447018264746</v>
      </c>
      <c r="Y215" s="63">
        <f>($L215+SUM($W215:X215))*(Q$11*Q215)</f>
        <v>64.38190136821572</v>
      </c>
      <c r="Z215" s="63">
        <f>($L215+SUM($W215:Y215))*(R$11*R215)</f>
        <v>64.94987321042301</v>
      </c>
      <c r="AA215" s="63">
        <f>($L215+SUM($W215:Z215))*(S$11*S215)</f>
        <v>64.09844574802787</v>
      </c>
      <c r="AB215" s="63">
        <f>($L215+SUM($W215:AA215))*(T$11*T215)</f>
        <v>65.36997549450284</v>
      </c>
      <c r="AC215" s="63">
        <f>($L215+SUM($W215:AB215))*(U$11*U215)</f>
        <v>0</v>
      </c>
      <c r="AD215" s="63">
        <f>($L215+SUM($W215:AC215))*(V$11*V215)</f>
        <v>0</v>
      </c>
      <c r="AE215" s="110">
        <f t="shared" si="211"/>
        <v>288.3986428394342</v>
      </c>
    </row>
    <row r="216" spans="1:31" ht="12.75">
      <c r="A216" s="3">
        <v>5</v>
      </c>
      <c r="B216" s="15">
        <f t="shared" si="171"/>
        <v>42491</v>
      </c>
      <c r="C216" s="243">
        <f t="shared" si="206"/>
        <v>42524</v>
      </c>
      <c r="D216" s="243">
        <f t="shared" si="206"/>
        <v>42541</v>
      </c>
      <c r="E216" s="30" t="s">
        <v>142</v>
      </c>
      <c r="F216" s="3">
        <v>9</v>
      </c>
      <c r="G216" s="362">
        <v>63</v>
      </c>
      <c r="H216" s="246">
        <f t="shared" si="221"/>
        <v>1566.72</v>
      </c>
      <c r="I216" s="246">
        <f t="shared" si="204"/>
        <v>1652.23</v>
      </c>
      <c r="J216" s="56">
        <f t="shared" si="172"/>
        <v>104090.49</v>
      </c>
      <c r="K216" s="57">
        <f t="shared" si="220"/>
        <v>98703.36</v>
      </c>
      <c r="L216" s="58">
        <f t="shared" si="226"/>
        <v>5387.130000000005</v>
      </c>
      <c r="M216" s="55">
        <f t="shared" si="222"/>
        <v>196.84963535965176</v>
      </c>
      <c r="N216" s="29">
        <f t="shared" si="227"/>
        <v>5583.979635359657</v>
      </c>
      <c r="O216" s="16">
        <f t="shared" si="208"/>
        <v>0</v>
      </c>
      <c r="P216" s="16">
        <f t="shared" si="209"/>
        <v>11</v>
      </c>
      <c r="Q216" s="16">
        <f t="shared" si="210"/>
        <v>92</v>
      </c>
      <c r="R216" s="16">
        <f t="shared" si="218"/>
        <v>92</v>
      </c>
      <c r="S216" s="16">
        <f t="shared" si="219"/>
        <v>90</v>
      </c>
      <c r="T216" s="16">
        <f t="shared" si="219"/>
        <v>91</v>
      </c>
      <c r="U216" s="16">
        <f t="shared" si="219"/>
        <v>0</v>
      </c>
      <c r="V216" s="106">
        <f t="shared" si="224"/>
        <v>0</v>
      </c>
      <c r="W216" s="141">
        <f t="shared" si="225"/>
        <v>0</v>
      </c>
      <c r="X216" s="63">
        <f>($L216+SUM($W216:W216))*(P$11*P216)</f>
        <v>5.611962731506854</v>
      </c>
      <c r="Y216" s="63">
        <f>($L216+SUM($W216:X216))*(Q$11*Q216)</f>
        <v>47.57432635615197</v>
      </c>
      <c r="Z216" s="63">
        <f>($L216+SUM($W216:Y216))*(R$11*R216)</f>
        <v>47.994023153047344</v>
      </c>
      <c r="AA216" s="63">
        <f>($L216+SUM($W216:Z216))*(S$11*S216)</f>
        <v>47.36486981796779</v>
      </c>
      <c r="AB216" s="63">
        <f>($L216+SUM($W216:AA216))*(T$11*T216)</f>
        <v>48.304453300977784</v>
      </c>
      <c r="AC216" s="63">
        <f>($L216+SUM($W216:AB216))*(U$11*U216)</f>
        <v>0</v>
      </c>
      <c r="AD216" s="63">
        <f>($L216+SUM($W216:AC216))*(V$11*V216)</f>
        <v>0</v>
      </c>
      <c r="AE216" s="110">
        <f t="shared" si="211"/>
        <v>196.84963535965176</v>
      </c>
    </row>
    <row r="217" spans="1:31" ht="12.75">
      <c r="A217" s="3">
        <v>6</v>
      </c>
      <c r="B217" s="15">
        <f t="shared" si="171"/>
        <v>42522</v>
      </c>
      <c r="C217" s="243">
        <f t="shared" si="206"/>
        <v>42557</v>
      </c>
      <c r="D217" s="243">
        <f t="shared" si="206"/>
        <v>42572</v>
      </c>
      <c r="E217" s="30" t="s">
        <v>142</v>
      </c>
      <c r="F217" s="3">
        <v>9</v>
      </c>
      <c r="G217" s="362">
        <v>88</v>
      </c>
      <c r="H217" s="246">
        <f t="shared" si="221"/>
        <v>1566.72</v>
      </c>
      <c r="I217" s="246">
        <f t="shared" si="204"/>
        <v>1652.23</v>
      </c>
      <c r="J217" s="56">
        <f t="shared" si="172"/>
        <v>145396.24</v>
      </c>
      <c r="K217" s="57">
        <f t="shared" si="220"/>
        <v>137871.36000000002</v>
      </c>
      <c r="L217" s="77">
        <f t="shared" si="226"/>
        <v>7524.879999999976</v>
      </c>
      <c r="M217" s="78">
        <f t="shared" si="222"/>
        <v>252.0352875128723</v>
      </c>
      <c r="N217" s="76">
        <f t="shared" si="227"/>
        <v>7776.9152875128475</v>
      </c>
      <c r="O217" s="16">
        <f t="shared" si="208"/>
        <v>0</v>
      </c>
      <c r="P217" s="16">
        <f t="shared" si="209"/>
        <v>0</v>
      </c>
      <c r="Q217" s="16">
        <f t="shared" si="210"/>
        <v>72</v>
      </c>
      <c r="R217" s="16">
        <f t="shared" si="218"/>
        <v>92</v>
      </c>
      <c r="S217" s="16">
        <f t="shared" si="219"/>
        <v>90</v>
      </c>
      <c r="T217" s="16">
        <f t="shared" si="219"/>
        <v>91</v>
      </c>
      <c r="U217" s="16">
        <f t="shared" si="219"/>
        <v>0</v>
      </c>
      <c r="V217" s="106">
        <f t="shared" si="224"/>
        <v>0</v>
      </c>
      <c r="W217" s="141">
        <f t="shared" si="225"/>
        <v>0</v>
      </c>
      <c r="X217" s="63">
        <f>($L217+SUM($W217:W217))*(P$11*P217)</f>
        <v>0</v>
      </c>
      <c r="Y217" s="63">
        <f>($L217+SUM($W217:X217))*(Q$11*Q217)</f>
        <v>51.9525961643834</v>
      </c>
      <c r="Z217" s="63">
        <f>($L217+SUM($W217:Y217))*(R$11*R217)</f>
        <v>66.84219440999792</v>
      </c>
      <c r="AA217" s="63">
        <f>($L217+SUM($W217:Z217))*(S$11*S217)</f>
        <v>65.96596052139513</v>
      </c>
      <c r="AB217" s="63">
        <f>($L217+SUM($W217:AA217))*(T$11*T217)</f>
        <v>67.27453641709582</v>
      </c>
      <c r="AC217" s="63">
        <f>($L217+SUM($W217:AB217))*(U$11*U217)</f>
        <v>0</v>
      </c>
      <c r="AD217" s="63">
        <f>($L217+SUM($W217:AC217))*(V$11*V217)</f>
        <v>0</v>
      </c>
      <c r="AE217" s="110">
        <f t="shared" si="211"/>
        <v>252.0352875128723</v>
      </c>
    </row>
    <row r="218" spans="1:31" ht="12.75">
      <c r="A218" s="16">
        <v>7</v>
      </c>
      <c r="B218" s="15">
        <f t="shared" si="171"/>
        <v>42552</v>
      </c>
      <c r="C218" s="243">
        <f t="shared" si="206"/>
        <v>42585</v>
      </c>
      <c r="D218" s="243">
        <f t="shared" si="206"/>
        <v>42600</v>
      </c>
      <c r="E218" s="30" t="s">
        <v>142</v>
      </c>
      <c r="F218" s="3">
        <v>9</v>
      </c>
      <c r="G218" s="362">
        <v>101</v>
      </c>
      <c r="H218" s="246">
        <f aca="true" t="shared" si="228" ref="H218:H223">$K$8</f>
        <v>1623.7</v>
      </c>
      <c r="I218" s="246">
        <f t="shared" si="204"/>
        <v>1652.23</v>
      </c>
      <c r="J218" s="56">
        <f t="shared" si="172"/>
        <v>166875.23</v>
      </c>
      <c r="K218" s="74">
        <f t="shared" si="220"/>
        <v>163993.7</v>
      </c>
      <c r="L218" s="77">
        <f t="shared" si="226"/>
        <v>2881.529999999999</v>
      </c>
      <c r="M218" s="75">
        <f t="shared" si="222"/>
        <v>88.57178516966064</v>
      </c>
      <c r="N218" s="76">
        <f t="shared" si="227"/>
        <v>2970.1017851696597</v>
      </c>
      <c r="O218" s="16">
        <f t="shared" si="208"/>
        <v>0</v>
      </c>
      <c r="P218" s="16">
        <f t="shared" si="209"/>
        <v>0</v>
      </c>
      <c r="Q218" s="16">
        <f t="shared" si="210"/>
        <v>44</v>
      </c>
      <c r="R218" s="16">
        <f t="shared" si="218"/>
        <v>92</v>
      </c>
      <c r="S218" s="16">
        <f t="shared" si="219"/>
        <v>90</v>
      </c>
      <c r="T218" s="16">
        <f t="shared" si="219"/>
        <v>91</v>
      </c>
      <c r="U218" s="16">
        <f t="shared" si="219"/>
        <v>0</v>
      </c>
      <c r="V218" s="106">
        <f t="shared" si="224"/>
        <v>0</v>
      </c>
      <c r="W218" s="141">
        <f t="shared" si="225"/>
        <v>0</v>
      </c>
      <c r="X218" s="63">
        <f>($L218+SUM($W218:W218))*(P$11*P218)</f>
        <v>0</v>
      </c>
      <c r="Y218" s="63">
        <f>($L218+SUM($W218:X218))*(Q$11*Q218)</f>
        <v>12.15768821917808</v>
      </c>
      <c r="Z218" s="63">
        <f>($L218+SUM($W218:Y218))*(R$11*R218)</f>
        <v>25.527874948125344</v>
      </c>
      <c r="AA218" s="63">
        <f>($L218+SUM($W218:Z218))*(S$11*S218)</f>
        <v>25.19323020267672</v>
      </c>
      <c r="AB218" s="63">
        <f>($L218+SUM($W218:AA218))*(T$11*T218)</f>
        <v>25.692991799680502</v>
      </c>
      <c r="AC218" s="63">
        <f>($L218+SUM($W218:AB218))*(U$11*U218)</f>
        <v>0</v>
      </c>
      <c r="AD218" s="63">
        <f>($L218+SUM($W218:AC218))*(V$11*V218)</f>
        <v>0</v>
      </c>
      <c r="AE218" s="110">
        <f t="shared" si="211"/>
        <v>88.57178516966064</v>
      </c>
    </row>
    <row r="219" spans="1:31" ht="12.75">
      <c r="A219" s="3">
        <v>8</v>
      </c>
      <c r="B219" s="15">
        <f t="shared" si="171"/>
        <v>42583</v>
      </c>
      <c r="C219" s="243">
        <f t="shared" si="206"/>
        <v>42619</v>
      </c>
      <c r="D219" s="243">
        <f t="shared" si="206"/>
        <v>42634</v>
      </c>
      <c r="E219" s="30" t="s">
        <v>142</v>
      </c>
      <c r="F219" s="3">
        <v>9</v>
      </c>
      <c r="G219" s="362">
        <v>83</v>
      </c>
      <c r="H219" s="246">
        <f t="shared" si="228"/>
        <v>1623.7</v>
      </c>
      <c r="I219" s="246">
        <f t="shared" si="204"/>
        <v>1652.23</v>
      </c>
      <c r="J219" s="56">
        <f t="shared" si="172"/>
        <v>137135.09</v>
      </c>
      <c r="K219" s="74">
        <f t="shared" si="220"/>
        <v>134767.1</v>
      </c>
      <c r="L219" s="77">
        <f t="shared" si="226"/>
        <v>2367.9899999999907</v>
      </c>
      <c r="M219" s="75">
        <f t="shared" si="222"/>
        <v>64.86254722308317</v>
      </c>
      <c r="N219" s="76">
        <f t="shared" si="227"/>
        <v>2432.852547223074</v>
      </c>
      <c r="O219" s="16">
        <f t="shared" si="208"/>
        <v>0</v>
      </c>
      <c r="P219" s="16">
        <f t="shared" si="209"/>
        <v>0</v>
      </c>
      <c r="Q219" s="16">
        <f t="shared" si="210"/>
        <v>10</v>
      </c>
      <c r="R219" s="16">
        <f t="shared" si="218"/>
        <v>92</v>
      </c>
      <c r="S219" s="16">
        <f t="shared" si="219"/>
        <v>90</v>
      </c>
      <c r="T219" s="16">
        <f t="shared" si="219"/>
        <v>91</v>
      </c>
      <c r="U219" s="16">
        <f t="shared" si="219"/>
        <v>0</v>
      </c>
      <c r="V219" s="106">
        <f t="shared" si="224"/>
        <v>0</v>
      </c>
      <c r="W219" s="141">
        <f t="shared" si="225"/>
        <v>0</v>
      </c>
      <c r="X219" s="63">
        <f>($L219+SUM($W219:W219))*(P$11*P219)</f>
        <v>0</v>
      </c>
      <c r="Y219" s="63">
        <f>($L219+SUM($W219:X219))*(Q$11*Q219)</f>
        <v>2.270675342465745</v>
      </c>
      <c r="Z219" s="63">
        <f>($L219+SUM($W219:Y219))*(R$11*R219)</f>
        <v>20.910244861925236</v>
      </c>
      <c r="AA219" s="63">
        <f>($L219+SUM($W219:Z219))*(S$11*S219)</f>
        <v>20.636132599024116</v>
      </c>
      <c r="AB219" s="63">
        <f>($L219+SUM($W219:AA219))*(T$11*T219)</f>
        <v>21.045494419668078</v>
      </c>
      <c r="AC219" s="63">
        <f>($L219+SUM($W219:AB219))*(U$11*U219)</f>
        <v>0</v>
      </c>
      <c r="AD219" s="63">
        <f>($L219+SUM($W219:AC219))*(V$11*V219)</f>
        <v>0</v>
      </c>
      <c r="AE219" s="110">
        <f t="shared" si="211"/>
        <v>64.86254722308317</v>
      </c>
    </row>
    <row r="220" spans="1:31" ht="12.75">
      <c r="A220" s="3">
        <v>9</v>
      </c>
      <c r="B220" s="15">
        <f t="shared" si="171"/>
        <v>42614</v>
      </c>
      <c r="C220" s="243">
        <f t="shared" si="206"/>
        <v>42648</v>
      </c>
      <c r="D220" s="243">
        <f t="shared" si="206"/>
        <v>42663</v>
      </c>
      <c r="E220" s="30" t="s">
        <v>142</v>
      </c>
      <c r="F220" s="3">
        <v>9</v>
      </c>
      <c r="G220" s="362">
        <v>91</v>
      </c>
      <c r="H220" s="246">
        <f t="shared" si="228"/>
        <v>1623.7</v>
      </c>
      <c r="I220" s="246">
        <f t="shared" si="204"/>
        <v>1652.23</v>
      </c>
      <c r="J220" s="56">
        <f t="shared" si="172"/>
        <v>150352.93</v>
      </c>
      <c r="K220" s="74">
        <f t="shared" si="220"/>
        <v>147756.7</v>
      </c>
      <c r="L220" s="77">
        <f t="shared" si="226"/>
        <v>2596.2299999999814</v>
      </c>
      <c r="M220" s="75">
        <f t="shared" si="222"/>
        <v>63.74651122072372</v>
      </c>
      <c r="N220" s="76">
        <f t="shared" si="227"/>
        <v>2659.976511220705</v>
      </c>
      <c r="O220" s="16">
        <f t="shared" si="208"/>
        <v>0</v>
      </c>
      <c r="P220" s="16">
        <f t="shared" si="209"/>
        <v>0</v>
      </c>
      <c r="Q220" s="16">
        <f t="shared" si="210"/>
        <v>0</v>
      </c>
      <c r="R220" s="16">
        <f t="shared" si="218"/>
        <v>73</v>
      </c>
      <c r="S220" s="16">
        <f t="shared" si="219"/>
        <v>90</v>
      </c>
      <c r="T220" s="16">
        <f t="shared" si="219"/>
        <v>91</v>
      </c>
      <c r="U220" s="16">
        <f t="shared" si="219"/>
        <v>0</v>
      </c>
      <c r="V220" s="106">
        <f t="shared" si="224"/>
        <v>0</v>
      </c>
      <c r="W220" s="141">
        <f t="shared" si="225"/>
        <v>0</v>
      </c>
      <c r="X220" s="63">
        <f>($L220+SUM($W220:W220))*(P$11*P220)</f>
        <v>0</v>
      </c>
      <c r="Y220" s="63">
        <f>($L220+SUM($W220:X220))*(Q$11*Q220)</f>
        <v>0</v>
      </c>
      <c r="Z220" s="63">
        <f>($L220+SUM($W220:Y220))*(R$11*R220)</f>
        <v>18.173609999999872</v>
      </c>
      <c r="AA220" s="63">
        <f>($L220+SUM($W220:Z220))*(S$11*S220)</f>
        <v>22.56266129178066</v>
      </c>
      <c r="AB220" s="63">
        <f>($L220+SUM($W220:AA220))*(T$11*T220)</f>
        <v>23.010239928943186</v>
      </c>
      <c r="AC220" s="63">
        <f>($L220+SUM($W220:AB220))*(U$11*U220)</f>
        <v>0</v>
      </c>
      <c r="AD220" s="63">
        <f>($L220+SUM($W220:AC220))*(V$11*V220)</f>
        <v>0</v>
      </c>
      <c r="AE220" s="110">
        <f t="shared" si="211"/>
        <v>63.74651122072372</v>
      </c>
    </row>
    <row r="221" spans="1:31" ht="12.75">
      <c r="A221" s="16">
        <v>10</v>
      </c>
      <c r="B221" s="15">
        <f t="shared" si="171"/>
        <v>42644</v>
      </c>
      <c r="C221" s="243">
        <f t="shared" si="206"/>
        <v>42677</v>
      </c>
      <c r="D221" s="243">
        <f t="shared" si="206"/>
        <v>42692</v>
      </c>
      <c r="E221" s="30" t="s">
        <v>142</v>
      </c>
      <c r="F221" s="3">
        <v>9</v>
      </c>
      <c r="G221" s="362">
        <v>76</v>
      </c>
      <c r="H221" s="246">
        <f t="shared" si="228"/>
        <v>1623.7</v>
      </c>
      <c r="I221" s="246">
        <f t="shared" si="204"/>
        <v>1652.23</v>
      </c>
      <c r="J221" s="56">
        <f t="shared" si="172"/>
        <v>125569.48</v>
      </c>
      <c r="K221" s="74">
        <f t="shared" si="220"/>
        <v>123401.2</v>
      </c>
      <c r="L221" s="77">
        <f t="shared" si="226"/>
        <v>2168.279999999999</v>
      </c>
      <c r="M221" s="75">
        <f t="shared" si="222"/>
        <v>47.10413917977324</v>
      </c>
      <c r="N221" s="76">
        <f t="shared" si="227"/>
        <v>2215.384139179772</v>
      </c>
      <c r="O221" s="16">
        <f t="shared" si="208"/>
        <v>0</v>
      </c>
      <c r="P221" s="16">
        <f t="shared" si="209"/>
        <v>0</v>
      </c>
      <c r="Q221" s="16">
        <f t="shared" si="210"/>
        <v>0</v>
      </c>
      <c r="R221" s="16">
        <f t="shared" si="218"/>
        <v>44</v>
      </c>
      <c r="S221" s="16">
        <f t="shared" si="219"/>
        <v>90</v>
      </c>
      <c r="T221" s="16">
        <f t="shared" si="219"/>
        <v>91</v>
      </c>
      <c r="U221" s="16">
        <f t="shared" si="219"/>
        <v>0</v>
      </c>
      <c r="V221" s="106">
        <f t="shared" si="224"/>
        <v>0</v>
      </c>
      <c r="W221" s="141">
        <f t="shared" si="225"/>
        <v>0</v>
      </c>
      <c r="X221" s="63">
        <f>($L221+SUM($W221:W221))*(P$11*P221)</f>
        <v>0</v>
      </c>
      <c r="Y221" s="63">
        <f>($L221+SUM($W221:X221))*(Q$11*Q221)</f>
        <v>0</v>
      </c>
      <c r="Z221" s="63">
        <f>($L221+SUM($W221:Y221))*(R$11*R221)</f>
        <v>9.148359452054791</v>
      </c>
      <c r="AA221" s="63">
        <f>($L221+SUM($W221:Z221))*(S$11*S221)</f>
        <v>18.79150501992868</v>
      </c>
      <c r="AB221" s="63">
        <f>($L221+SUM($W221:AA221))*(T$11*T221)</f>
        <v>19.164274707789765</v>
      </c>
      <c r="AC221" s="63">
        <f>($L221+SUM($W221:AB221))*(U$11*U221)</f>
        <v>0</v>
      </c>
      <c r="AD221" s="63">
        <f>($L221+SUM($W221:AC221))*(V$11*V221)</f>
        <v>0</v>
      </c>
      <c r="AE221" s="110">
        <f t="shared" si="211"/>
        <v>47.10413917977324</v>
      </c>
    </row>
    <row r="222" spans="1:31" ht="12.75">
      <c r="A222" s="3">
        <v>11</v>
      </c>
      <c r="B222" s="15">
        <f t="shared" si="171"/>
        <v>42675</v>
      </c>
      <c r="C222" s="243">
        <f t="shared" si="206"/>
        <v>42709</v>
      </c>
      <c r="D222" s="243">
        <f t="shared" si="206"/>
        <v>42724</v>
      </c>
      <c r="E222" s="30" t="s">
        <v>142</v>
      </c>
      <c r="F222" s="3">
        <v>9</v>
      </c>
      <c r="G222" s="362">
        <v>101</v>
      </c>
      <c r="H222" s="246">
        <f t="shared" si="228"/>
        <v>1623.7</v>
      </c>
      <c r="I222" s="246">
        <f t="shared" si="204"/>
        <v>1652.23</v>
      </c>
      <c r="J222" s="56">
        <f t="shared" si="172"/>
        <v>166875.23</v>
      </c>
      <c r="K222" s="74">
        <f>+$G222*H222</f>
        <v>163993.7</v>
      </c>
      <c r="L222" s="77">
        <f t="shared" si="226"/>
        <v>2881.529999999999</v>
      </c>
      <c r="M222" s="75">
        <f t="shared" si="222"/>
        <v>53.60283845111852</v>
      </c>
      <c r="N222" s="76">
        <f t="shared" si="227"/>
        <v>2935.1328384511175</v>
      </c>
      <c r="O222" s="16">
        <f t="shared" si="208"/>
        <v>0</v>
      </c>
      <c r="P222" s="16">
        <f t="shared" si="209"/>
        <v>0</v>
      </c>
      <c r="Q222" s="16">
        <f t="shared" si="210"/>
        <v>0</v>
      </c>
      <c r="R222" s="16">
        <f t="shared" si="218"/>
        <v>12</v>
      </c>
      <c r="S222" s="16">
        <f t="shared" si="219"/>
        <v>90</v>
      </c>
      <c r="T222" s="16">
        <f t="shared" si="219"/>
        <v>91</v>
      </c>
      <c r="U222" s="16">
        <f t="shared" si="219"/>
        <v>0</v>
      </c>
      <c r="V222" s="106">
        <f t="shared" si="224"/>
        <v>0</v>
      </c>
      <c r="W222" s="141">
        <f t="shared" si="225"/>
        <v>0</v>
      </c>
      <c r="X222" s="63">
        <f>($L222+SUM($W222:W222))*(P$11*P222)</f>
        <v>0</v>
      </c>
      <c r="Y222" s="63">
        <f>($L222+SUM($W222:X222))*(Q$11*Q222)</f>
        <v>0</v>
      </c>
      <c r="Z222" s="63">
        <f>($L222+SUM($W222:Y222))*(R$11*R222)</f>
        <v>3.3157331506849306</v>
      </c>
      <c r="AA222" s="63">
        <f>($L222+SUM($W222:Z222))*(S$11*S222)</f>
        <v>24.89661386143741</v>
      </c>
      <c r="AB222" s="63">
        <f>($L222+SUM($W222:AA222))*(T$11*T222)</f>
        <v>25.390491438996182</v>
      </c>
      <c r="AC222" s="63">
        <f>($L222+SUM($W222:AB222))*(U$11*U222)</f>
        <v>0</v>
      </c>
      <c r="AD222" s="63">
        <f>($L222+SUM($W222:AC222))*(V$11*V222)</f>
        <v>0</v>
      </c>
      <c r="AE222" s="110">
        <f t="shared" si="211"/>
        <v>53.60283845111852</v>
      </c>
    </row>
    <row r="223" spans="1:31" s="69" customFormat="1" ht="12.75">
      <c r="A223" s="3">
        <v>12</v>
      </c>
      <c r="B223" s="83">
        <f t="shared" si="171"/>
        <v>42705</v>
      </c>
      <c r="C223" s="263">
        <f t="shared" si="206"/>
        <v>42740</v>
      </c>
      <c r="D223" s="263">
        <f t="shared" si="206"/>
        <v>42755</v>
      </c>
      <c r="E223" s="84" t="s">
        <v>142</v>
      </c>
      <c r="F223" s="81">
        <v>9</v>
      </c>
      <c r="G223" s="363">
        <v>103</v>
      </c>
      <c r="H223" s="247">
        <f t="shared" si="228"/>
        <v>1623.7</v>
      </c>
      <c r="I223" s="247">
        <f t="shared" si="204"/>
        <v>1652.23</v>
      </c>
      <c r="J223" s="85">
        <f t="shared" si="172"/>
        <v>170179.69</v>
      </c>
      <c r="K223" s="86">
        <f>+$G223*H223</f>
        <v>167241.1</v>
      </c>
      <c r="L223" s="87">
        <f t="shared" si="226"/>
        <v>2938.5899999999965</v>
      </c>
      <c r="M223" s="88">
        <f t="shared" si="222"/>
        <v>45.82335947635761</v>
      </c>
      <c r="N223" s="89">
        <f t="shared" si="227"/>
        <v>2984.4133594763543</v>
      </c>
      <c r="O223" s="81">
        <f t="shared" si="208"/>
        <v>0</v>
      </c>
      <c r="P223" s="81">
        <f t="shared" si="209"/>
        <v>0</v>
      </c>
      <c r="Q223" s="81">
        <f t="shared" si="210"/>
        <v>0</v>
      </c>
      <c r="R223" s="81">
        <f t="shared" si="218"/>
        <v>0</v>
      </c>
      <c r="S223" s="81">
        <f t="shared" si="219"/>
        <v>71</v>
      </c>
      <c r="T223" s="81">
        <f t="shared" si="219"/>
        <v>91</v>
      </c>
      <c r="U223" s="81">
        <f t="shared" si="219"/>
        <v>0</v>
      </c>
      <c r="V223" s="107">
        <f t="shared" si="224"/>
        <v>0</v>
      </c>
      <c r="W223" s="142">
        <f t="shared" si="225"/>
        <v>0</v>
      </c>
      <c r="X223" s="90">
        <f>($L223+SUM($W223:W223))*(P$11*P223)</f>
        <v>0</v>
      </c>
      <c r="Y223" s="90">
        <f>($L223+SUM($W223:X223))*(Q$11*Q223)</f>
        <v>0</v>
      </c>
      <c r="Z223" s="90">
        <f>($L223+SUM($W223:Y223))*(R$11*R223)</f>
        <v>0</v>
      </c>
      <c r="AA223" s="90">
        <f>($L223+SUM($W223:Z223))*(S$11*S223)</f>
        <v>20.006564794520525</v>
      </c>
      <c r="AB223" s="90">
        <f>($L223+SUM($W223:AA223))*(T$11*T223)</f>
        <v>25.816794681837088</v>
      </c>
      <c r="AC223" s="90">
        <f>($L223+SUM($W223:AB223))*(U$11*U223)</f>
        <v>0</v>
      </c>
      <c r="AD223" s="90">
        <f>($L223+SUM($W223:AC223))*(V$11*V223)</f>
        <v>0</v>
      </c>
      <c r="AE223" s="111">
        <f t="shared" si="211"/>
        <v>45.82335947635761</v>
      </c>
    </row>
    <row r="224" ht="12.75">
      <c r="A224" s="16"/>
    </row>
    <row r="225" ht="12.75">
      <c r="A225" s="3"/>
    </row>
    <row r="226" ht="12.75">
      <c r="A226" s="3"/>
    </row>
    <row r="227" ht="12.75">
      <c r="A227" s="16"/>
    </row>
    <row r="228" spans="1:13" ht="12.75">
      <c r="A228" s="3"/>
      <c r="D228"/>
      <c r="F228"/>
      <c r="G228"/>
      <c r="H228"/>
      <c r="I228"/>
      <c r="J228"/>
      <c r="K228"/>
      <c r="L228"/>
      <c r="M228"/>
    </row>
    <row r="229" ht="12.75">
      <c r="A229" s="3"/>
    </row>
    <row r="230" ht="12.75">
      <c r="A230" s="16"/>
    </row>
    <row r="231" ht="12.75">
      <c r="A231" s="3"/>
    </row>
    <row r="232" ht="12.75">
      <c r="A232" s="3"/>
    </row>
    <row r="233" ht="12.75">
      <c r="A233" s="16"/>
    </row>
    <row r="234" ht="12.75">
      <c r="A234" s="3"/>
    </row>
    <row r="235" ht="12.75">
      <c r="A235" s="3"/>
    </row>
    <row r="244" spans="4:13" ht="12.75">
      <c r="D244"/>
      <c r="F244"/>
      <c r="G244"/>
      <c r="H244"/>
      <c r="I244"/>
      <c r="J244"/>
      <c r="K244"/>
      <c r="L244"/>
      <c r="M244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4"/>
  <sheetViews>
    <sheetView zoomScale="85" zoomScaleNormal="85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72" sqref="E72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2.28125" style="0" bestFit="1" customWidth="1"/>
  </cols>
  <sheetData>
    <row r="3" spans="1:15" ht="12.75">
      <c r="A3" s="164"/>
      <c r="B3" s="119"/>
      <c r="C3" s="121" t="s">
        <v>220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2.75">
      <c r="A4" s="121" t="s">
        <v>0</v>
      </c>
      <c r="B4" s="121" t="s">
        <v>151</v>
      </c>
      <c r="C4" s="123">
        <v>42370</v>
      </c>
      <c r="D4" s="124">
        <v>42401</v>
      </c>
      <c r="E4" s="124">
        <v>42430</v>
      </c>
      <c r="F4" s="124">
        <v>42461</v>
      </c>
      <c r="G4" s="124">
        <v>42491</v>
      </c>
      <c r="H4" s="124">
        <v>42522</v>
      </c>
      <c r="I4" s="124">
        <v>42552</v>
      </c>
      <c r="J4" s="124">
        <v>42583</v>
      </c>
      <c r="K4" s="124">
        <v>42614</v>
      </c>
      <c r="L4" s="124">
        <v>42644</v>
      </c>
      <c r="M4" s="124">
        <v>42675</v>
      </c>
      <c r="N4" s="124">
        <v>42705</v>
      </c>
      <c r="O4" s="125" t="s">
        <v>143</v>
      </c>
    </row>
    <row r="5" spans="1:15" ht="12.75">
      <c r="A5" s="164" t="s">
        <v>137</v>
      </c>
      <c r="B5" s="164" t="s">
        <v>259</v>
      </c>
      <c r="C5" s="201">
        <v>1192910.06</v>
      </c>
      <c r="D5" s="202">
        <v>1047513.8200000001</v>
      </c>
      <c r="E5" s="202">
        <v>926901.03</v>
      </c>
      <c r="F5" s="202">
        <v>791418.17</v>
      </c>
      <c r="G5" s="202">
        <v>916987.65</v>
      </c>
      <c r="H5" s="202">
        <v>1358133.06</v>
      </c>
      <c r="I5" s="202">
        <v>1434135.6400000001</v>
      </c>
      <c r="J5" s="202">
        <v>1442396.79</v>
      </c>
      <c r="K5" s="202">
        <v>1275521.56</v>
      </c>
      <c r="L5" s="202">
        <v>1034295.98</v>
      </c>
      <c r="M5" s="202">
        <v>816201.62</v>
      </c>
      <c r="N5" s="202">
        <v>1374655.36</v>
      </c>
      <c r="O5" s="203">
        <v>13611070.740000002</v>
      </c>
    </row>
    <row r="6" spans="1:15" ht="13.5">
      <c r="A6" s="163"/>
      <c r="B6" s="122" t="s">
        <v>152</v>
      </c>
      <c r="C6" s="385">
        <v>61738.21999999997</v>
      </c>
      <c r="D6" s="386">
        <v>54213.340000000084</v>
      </c>
      <c r="E6" s="386">
        <v>47971.109999999986</v>
      </c>
      <c r="F6" s="386">
        <v>40959.29000000004</v>
      </c>
      <c r="G6" s="386">
        <v>47458.05000000005</v>
      </c>
      <c r="H6" s="386">
        <v>70289.21999999997</v>
      </c>
      <c r="I6" s="386">
        <v>24764.040000000037</v>
      </c>
      <c r="J6" s="386">
        <v>24906.689999999944</v>
      </c>
      <c r="K6" s="386">
        <v>22025.159999999916</v>
      </c>
      <c r="L6" s="386">
        <v>17859.77999999991</v>
      </c>
      <c r="M6" s="386">
        <v>14093.819999999949</v>
      </c>
      <c r="N6" s="386">
        <v>23736.959999999963</v>
      </c>
      <c r="O6" s="387">
        <v>450015.6799999998</v>
      </c>
    </row>
    <row r="7" spans="1:15" ht="13.5">
      <c r="A7" s="163"/>
      <c r="B7" s="122" t="s">
        <v>153</v>
      </c>
      <c r="C7" s="385">
        <v>2987.164237277434</v>
      </c>
      <c r="D7" s="386">
        <v>2476.8749830095935</v>
      </c>
      <c r="E7" s="386">
        <v>2039.8505851114542</v>
      </c>
      <c r="F7" s="386">
        <v>1625.211175530465</v>
      </c>
      <c r="G7" s="386">
        <v>1734.1515495969322</v>
      </c>
      <c r="H7" s="386">
        <v>2354.238708358882</v>
      </c>
      <c r="I7" s="386">
        <v>761.1911834382731</v>
      </c>
      <c r="J7" s="386">
        <v>682.2289605512253</v>
      </c>
      <c r="K7" s="386">
        <v>540.79457870768</v>
      </c>
      <c r="L7" s="386">
        <v>387.9893569281305</v>
      </c>
      <c r="M7" s="386">
        <v>262.1762593549749</v>
      </c>
      <c r="N7" s="386">
        <v>370.1459716925196</v>
      </c>
      <c r="O7" s="387">
        <v>16222.017549557566</v>
      </c>
    </row>
    <row r="8" spans="1:15" ht="13.5">
      <c r="A8" s="163"/>
      <c r="B8" s="122" t="s">
        <v>154</v>
      </c>
      <c r="C8" s="385">
        <v>64725.38423727741</v>
      </c>
      <c r="D8" s="386">
        <v>56690.214983009675</v>
      </c>
      <c r="E8" s="386">
        <v>50010.96058511144</v>
      </c>
      <c r="F8" s="386">
        <v>42584.5011755305</v>
      </c>
      <c r="G8" s="386">
        <v>49192.201549596975</v>
      </c>
      <c r="H8" s="386">
        <v>72643.45870835886</v>
      </c>
      <c r="I8" s="386">
        <v>25525.23118343831</v>
      </c>
      <c r="J8" s="386">
        <v>25588.91896055117</v>
      </c>
      <c r="K8" s="386">
        <v>22565.954578707595</v>
      </c>
      <c r="L8" s="386">
        <v>18247.76935692804</v>
      </c>
      <c r="M8" s="386">
        <v>14355.996259354924</v>
      </c>
      <c r="N8" s="386">
        <v>24107.105971692483</v>
      </c>
      <c r="O8" s="387">
        <v>466237.6975495574</v>
      </c>
    </row>
    <row r="9" spans="1:15" ht="12.75">
      <c r="A9" s="163"/>
      <c r="B9" s="122" t="s">
        <v>214</v>
      </c>
      <c r="C9" s="251">
        <v>1131171.84</v>
      </c>
      <c r="D9" s="252">
        <v>993300.48</v>
      </c>
      <c r="E9" s="252">
        <v>878929.92</v>
      </c>
      <c r="F9" s="252">
        <v>750458.88</v>
      </c>
      <c r="G9" s="252">
        <v>869529.6</v>
      </c>
      <c r="H9" s="252">
        <v>1287843.84</v>
      </c>
      <c r="I9" s="252">
        <v>1409371.6</v>
      </c>
      <c r="J9" s="252">
        <v>1417490.1</v>
      </c>
      <c r="K9" s="252">
        <v>1253496.4000000001</v>
      </c>
      <c r="L9" s="252">
        <v>1016436.2000000001</v>
      </c>
      <c r="M9" s="252">
        <v>802107.8</v>
      </c>
      <c r="N9" s="252">
        <v>1350918.4000000001</v>
      </c>
      <c r="O9" s="253">
        <v>13161055.06</v>
      </c>
    </row>
    <row r="10" spans="1:15" ht="12.75">
      <c r="A10" s="164" t="s">
        <v>142</v>
      </c>
      <c r="B10" s="164" t="s">
        <v>259</v>
      </c>
      <c r="C10" s="201">
        <v>160266.31</v>
      </c>
      <c r="D10" s="202">
        <v>153657.39</v>
      </c>
      <c r="E10" s="202">
        <v>156961.85</v>
      </c>
      <c r="F10" s="202">
        <v>140439.55</v>
      </c>
      <c r="G10" s="202">
        <v>104090.49</v>
      </c>
      <c r="H10" s="202">
        <v>145396.24</v>
      </c>
      <c r="I10" s="202">
        <v>166875.23</v>
      </c>
      <c r="J10" s="202">
        <v>137135.09</v>
      </c>
      <c r="K10" s="202">
        <v>150352.93</v>
      </c>
      <c r="L10" s="202">
        <v>125569.48</v>
      </c>
      <c r="M10" s="202">
        <v>166875.23</v>
      </c>
      <c r="N10" s="202">
        <v>170179.69</v>
      </c>
      <c r="O10" s="203">
        <v>1777799.48</v>
      </c>
    </row>
    <row r="11" spans="1:15" ht="13.5">
      <c r="A11" s="163"/>
      <c r="B11" s="122" t="s">
        <v>152</v>
      </c>
      <c r="C11" s="385">
        <v>8294.470000000001</v>
      </c>
      <c r="D11" s="386">
        <v>7952.430000000022</v>
      </c>
      <c r="E11" s="386">
        <v>8123.450000000012</v>
      </c>
      <c r="F11" s="386">
        <v>7268.349999999977</v>
      </c>
      <c r="G11" s="386">
        <v>5387.130000000005</v>
      </c>
      <c r="H11" s="386">
        <v>7524.879999999976</v>
      </c>
      <c r="I11" s="386">
        <v>2881.529999999999</v>
      </c>
      <c r="J11" s="386">
        <v>2367.9899999999907</v>
      </c>
      <c r="K11" s="386">
        <v>2596.2299999999814</v>
      </c>
      <c r="L11" s="386">
        <v>2168.279999999999</v>
      </c>
      <c r="M11" s="386">
        <v>2881.529999999999</v>
      </c>
      <c r="N11" s="386">
        <v>2938.5899999999965</v>
      </c>
      <c r="O11" s="387">
        <v>60384.85999999996</v>
      </c>
    </row>
    <row r="12" spans="1:15" ht="13.5">
      <c r="A12" s="163"/>
      <c r="B12" s="122" t="s">
        <v>153</v>
      </c>
      <c r="C12" s="385">
        <v>401.3226191356112</v>
      </c>
      <c r="D12" s="386">
        <v>363.3270874130796</v>
      </c>
      <c r="E12" s="386">
        <v>345.4292434680721</v>
      </c>
      <c r="F12" s="386">
        <v>288.3986428394342</v>
      </c>
      <c r="G12" s="386">
        <v>196.84963535965176</v>
      </c>
      <c r="H12" s="386">
        <v>252.0352875128723</v>
      </c>
      <c r="I12" s="386">
        <v>88.57178516966064</v>
      </c>
      <c r="J12" s="386">
        <v>64.86254722308317</v>
      </c>
      <c r="K12" s="386">
        <v>63.74651122072372</v>
      </c>
      <c r="L12" s="386">
        <v>47.10413917977324</v>
      </c>
      <c r="M12" s="386">
        <v>53.60283845111852</v>
      </c>
      <c r="N12" s="386">
        <v>45.82335947635761</v>
      </c>
      <c r="O12" s="387">
        <v>2211.073696449438</v>
      </c>
    </row>
    <row r="13" spans="1:15" ht="13.5">
      <c r="A13" s="163"/>
      <c r="B13" s="122" t="s">
        <v>154</v>
      </c>
      <c r="C13" s="385">
        <v>8695.792619135613</v>
      </c>
      <c r="D13" s="386">
        <v>8315.757087413102</v>
      </c>
      <c r="E13" s="386">
        <v>8468.879243468084</v>
      </c>
      <c r="F13" s="386">
        <v>7556.748642839411</v>
      </c>
      <c r="G13" s="386">
        <v>5583.979635359657</v>
      </c>
      <c r="H13" s="386">
        <v>7776.9152875128475</v>
      </c>
      <c r="I13" s="386">
        <v>2970.1017851696597</v>
      </c>
      <c r="J13" s="386">
        <v>2432.852547223074</v>
      </c>
      <c r="K13" s="386">
        <v>2659.976511220705</v>
      </c>
      <c r="L13" s="386">
        <v>2215.384139179772</v>
      </c>
      <c r="M13" s="386">
        <v>2935.1328384511175</v>
      </c>
      <c r="N13" s="386">
        <v>2984.4133594763543</v>
      </c>
      <c r="O13" s="387">
        <v>62595.93369644939</v>
      </c>
    </row>
    <row r="14" spans="1:15" ht="12.75">
      <c r="A14" s="163"/>
      <c r="B14" s="122" t="s">
        <v>214</v>
      </c>
      <c r="C14" s="251">
        <v>151971.84</v>
      </c>
      <c r="D14" s="252">
        <v>145704.96</v>
      </c>
      <c r="E14" s="252">
        <v>148838.4</v>
      </c>
      <c r="F14" s="252">
        <v>133171.2</v>
      </c>
      <c r="G14" s="252">
        <v>98703.36</v>
      </c>
      <c r="H14" s="252">
        <v>137871.36000000002</v>
      </c>
      <c r="I14" s="252">
        <v>163993.7</v>
      </c>
      <c r="J14" s="252">
        <v>134767.1</v>
      </c>
      <c r="K14" s="252">
        <v>147756.7</v>
      </c>
      <c r="L14" s="252">
        <v>123401.2</v>
      </c>
      <c r="M14" s="252">
        <v>163993.7</v>
      </c>
      <c r="N14" s="252">
        <v>167241.1</v>
      </c>
      <c r="O14" s="253">
        <v>1717414.6199999999</v>
      </c>
    </row>
    <row r="15" spans="1:15" ht="12.75">
      <c r="A15" s="164" t="s">
        <v>136</v>
      </c>
      <c r="B15" s="164" t="s">
        <v>259</v>
      </c>
      <c r="C15" s="201">
        <v>150352.93</v>
      </c>
      <c r="D15" s="202">
        <v>148700.7</v>
      </c>
      <c r="E15" s="202">
        <v>123917.25</v>
      </c>
      <c r="F15" s="202">
        <v>97481.57</v>
      </c>
      <c r="G15" s="202">
        <v>105742.72</v>
      </c>
      <c r="H15" s="202">
        <v>133830.63</v>
      </c>
      <c r="I15" s="202">
        <v>161918.54</v>
      </c>
      <c r="J15" s="202">
        <v>155309.62</v>
      </c>
      <c r="K15" s="202">
        <v>140439.55</v>
      </c>
      <c r="L15" s="202">
        <v>114003.87</v>
      </c>
      <c r="M15" s="202">
        <v>845941.76</v>
      </c>
      <c r="N15" s="202">
        <v>1706753.59</v>
      </c>
      <c r="O15" s="203">
        <v>3884392.7299999995</v>
      </c>
    </row>
    <row r="16" spans="1:15" ht="13.5">
      <c r="A16" s="163"/>
      <c r="B16" s="122" t="s">
        <v>152</v>
      </c>
      <c r="C16" s="385">
        <v>7781.4100000000035</v>
      </c>
      <c r="D16" s="386">
        <v>7695.900000000023</v>
      </c>
      <c r="E16" s="386">
        <v>6413.25</v>
      </c>
      <c r="F16" s="386">
        <v>5045.090000000011</v>
      </c>
      <c r="G16" s="386">
        <v>5472.639999999999</v>
      </c>
      <c r="H16" s="386">
        <v>6926.309999999998</v>
      </c>
      <c r="I16" s="386">
        <v>2795.9400000000023</v>
      </c>
      <c r="J16" s="386">
        <v>2681.819999999978</v>
      </c>
      <c r="K16" s="386">
        <v>2425.0499999999884</v>
      </c>
      <c r="L16" s="386">
        <v>1968.5699999999924</v>
      </c>
      <c r="M16" s="386">
        <v>14607.359999999986</v>
      </c>
      <c r="N16" s="386">
        <v>29471.48999999999</v>
      </c>
      <c r="O16" s="387">
        <v>93284.82999999997</v>
      </c>
    </row>
    <row r="17" spans="1:15" ht="13.5">
      <c r="A17" s="163"/>
      <c r="B17" s="122" t="s">
        <v>153</v>
      </c>
      <c r="C17" s="385">
        <v>376.49853960144986</v>
      </c>
      <c r="D17" s="386">
        <v>351.60685878685126</v>
      </c>
      <c r="E17" s="386">
        <v>272.7072974747934</v>
      </c>
      <c r="F17" s="386">
        <v>200.18258738266715</v>
      </c>
      <c r="G17" s="386">
        <v>199.97423274631268</v>
      </c>
      <c r="H17" s="386">
        <v>231.98702600616718</v>
      </c>
      <c r="I17" s="386">
        <v>85.94094006561143</v>
      </c>
      <c r="J17" s="386">
        <v>73.4587884213228</v>
      </c>
      <c r="K17" s="386">
        <v>59.54344454682998</v>
      </c>
      <c r="L17" s="386">
        <v>42.765600044793985</v>
      </c>
      <c r="M17" s="386">
        <v>271.7292404650759</v>
      </c>
      <c r="N17" s="386">
        <v>459.5682557191986</v>
      </c>
      <c r="O17" s="387">
        <v>2625.9628112610744</v>
      </c>
    </row>
    <row r="18" spans="1:15" ht="13.5">
      <c r="A18" s="163"/>
      <c r="B18" s="122" t="s">
        <v>154</v>
      </c>
      <c r="C18" s="385">
        <v>8157.908539601453</v>
      </c>
      <c r="D18" s="386">
        <v>8047.506858786875</v>
      </c>
      <c r="E18" s="386">
        <v>6685.957297474793</v>
      </c>
      <c r="F18" s="386">
        <v>5245.2725873826785</v>
      </c>
      <c r="G18" s="386">
        <v>5672.614232746312</v>
      </c>
      <c r="H18" s="386">
        <v>7158.297026006165</v>
      </c>
      <c r="I18" s="386">
        <v>2881.8809400656137</v>
      </c>
      <c r="J18" s="386">
        <v>2755.2787884213008</v>
      </c>
      <c r="K18" s="386">
        <v>2484.5934445468183</v>
      </c>
      <c r="L18" s="386">
        <v>2011.3356000447864</v>
      </c>
      <c r="M18" s="386">
        <v>14879.089240465062</v>
      </c>
      <c r="N18" s="386">
        <v>29931.05825571919</v>
      </c>
      <c r="O18" s="387">
        <v>95910.79281126105</v>
      </c>
    </row>
    <row r="19" spans="1:15" ht="12.75">
      <c r="A19" s="163"/>
      <c r="B19" s="122" t="s">
        <v>214</v>
      </c>
      <c r="C19" s="251">
        <v>142571.52</v>
      </c>
      <c r="D19" s="252">
        <v>141004.8</v>
      </c>
      <c r="E19" s="252">
        <v>117504</v>
      </c>
      <c r="F19" s="252">
        <v>92436.48</v>
      </c>
      <c r="G19" s="252">
        <v>100270.08</v>
      </c>
      <c r="H19" s="252">
        <v>126904.32</v>
      </c>
      <c r="I19" s="252">
        <v>159122.6</v>
      </c>
      <c r="J19" s="252">
        <v>152627.80000000002</v>
      </c>
      <c r="K19" s="252">
        <v>138014.5</v>
      </c>
      <c r="L19" s="252">
        <v>112035.3</v>
      </c>
      <c r="M19" s="252">
        <v>831334.4</v>
      </c>
      <c r="N19" s="252">
        <v>1677282.1</v>
      </c>
      <c r="O19" s="253">
        <v>3791107.9000000004</v>
      </c>
    </row>
    <row r="20" spans="1:15" ht="12.75">
      <c r="A20" s="164" t="s">
        <v>140</v>
      </c>
      <c r="B20" s="164" t="s">
        <v>259</v>
      </c>
      <c r="C20" s="201">
        <v>9913.380000000001</v>
      </c>
      <c r="D20" s="202">
        <v>9913.380000000001</v>
      </c>
      <c r="E20" s="202">
        <v>8261.15</v>
      </c>
      <c r="F20" s="202">
        <v>6608.92</v>
      </c>
      <c r="G20" s="202">
        <v>6608.92</v>
      </c>
      <c r="H20" s="202">
        <v>14870.07</v>
      </c>
      <c r="I20" s="202">
        <v>23131.22</v>
      </c>
      <c r="J20" s="202">
        <v>26435.68</v>
      </c>
      <c r="K20" s="202">
        <v>8261.15</v>
      </c>
      <c r="L20" s="202">
        <v>8261.15</v>
      </c>
      <c r="M20" s="202">
        <v>8261.15</v>
      </c>
      <c r="N20" s="202">
        <v>13217.84</v>
      </c>
      <c r="O20" s="203">
        <v>143744.00999999998</v>
      </c>
    </row>
    <row r="21" spans="1:15" ht="13.5">
      <c r="A21" s="163"/>
      <c r="B21" s="122" t="s">
        <v>152</v>
      </c>
      <c r="C21" s="385">
        <v>513.0600000000013</v>
      </c>
      <c r="D21" s="386">
        <v>513.0600000000013</v>
      </c>
      <c r="E21" s="386">
        <v>427.5499999999993</v>
      </c>
      <c r="F21" s="386">
        <v>342.03999999999996</v>
      </c>
      <c r="G21" s="386">
        <v>342.03999999999996</v>
      </c>
      <c r="H21" s="386">
        <v>769.5900000000001</v>
      </c>
      <c r="I21" s="386">
        <v>399.4200000000019</v>
      </c>
      <c r="J21" s="386">
        <v>456.47999999999956</v>
      </c>
      <c r="K21" s="386">
        <v>142.64999999999964</v>
      </c>
      <c r="L21" s="386">
        <v>142.64999999999964</v>
      </c>
      <c r="M21" s="386">
        <v>142.64999999999964</v>
      </c>
      <c r="N21" s="386">
        <v>228.23999999999978</v>
      </c>
      <c r="O21" s="387">
        <v>4419.430000000002</v>
      </c>
    </row>
    <row r="22" spans="1:15" ht="13.5">
      <c r="A22" s="163"/>
      <c r="B22" s="122" t="s">
        <v>153</v>
      </c>
      <c r="C22" s="385">
        <v>24.824079534161584</v>
      </c>
      <c r="D22" s="386">
        <v>23.440457252456746</v>
      </c>
      <c r="E22" s="386">
        <v>18.18048649831953</v>
      </c>
      <c r="F22" s="386">
        <v>13.571700839502828</v>
      </c>
      <c r="G22" s="386">
        <v>12.498389546644542</v>
      </c>
      <c r="H22" s="386">
        <v>25.77633622290748</v>
      </c>
      <c r="I22" s="386">
        <v>12.277277152230253</v>
      </c>
      <c r="J22" s="386">
        <v>12.503623561076312</v>
      </c>
      <c r="K22" s="386">
        <v>3.502555561578242</v>
      </c>
      <c r="L22" s="386">
        <v>3.0989565249850752</v>
      </c>
      <c r="M22" s="386">
        <v>2.653605863916753</v>
      </c>
      <c r="N22" s="386">
        <v>3.5590958816588447</v>
      </c>
      <c r="O22" s="387">
        <v>155.88656443943822</v>
      </c>
    </row>
    <row r="23" spans="1:15" ht="13.5">
      <c r="A23" s="163"/>
      <c r="B23" s="122" t="s">
        <v>154</v>
      </c>
      <c r="C23" s="385">
        <v>537.8840795341629</v>
      </c>
      <c r="D23" s="386">
        <v>536.5004572524581</v>
      </c>
      <c r="E23" s="386">
        <v>445.7304864983188</v>
      </c>
      <c r="F23" s="386">
        <v>355.6117008395028</v>
      </c>
      <c r="G23" s="386">
        <v>354.5383895466445</v>
      </c>
      <c r="H23" s="386">
        <v>795.3663362229076</v>
      </c>
      <c r="I23" s="386">
        <v>411.6972771522321</v>
      </c>
      <c r="J23" s="386">
        <v>468.9836235610759</v>
      </c>
      <c r="K23" s="386">
        <v>146.15255556157788</v>
      </c>
      <c r="L23" s="386">
        <v>145.74895652498472</v>
      </c>
      <c r="M23" s="386">
        <v>145.3036058639164</v>
      </c>
      <c r="N23" s="386">
        <v>231.79909588165862</v>
      </c>
      <c r="O23" s="387">
        <v>4575.316564439441</v>
      </c>
    </row>
    <row r="24" spans="1:15" ht="12.75">
      <c r="A24" s="163"/>
      <c r="B24" s="122" t="s">
        <v>214</v>
      </c>
      <c r="C24" s="251">
        <v>9400.32</v>
      </c>
      <c r="D24" s="252">
        <v>9400.32</v>
      </c>
      <c r="E24" s="252">
        <v>7833.6</v>
      </c>
      <c r="F24" s="252">
        <v>6266.88</v>
      </c>
      <c r="G24" s="252">
        <v>6266.88</v>
      </c>
      <c r="H24" s="252">
        <v>14100.48</v>
      </c>
      <c r="I24" s="252">
        <v>22731.8</v>
      </c>
      <c r="J24" s="252">
        <v>25979.2</v>
      </c>
      <c r="K24" s="252">
        <v>8118.5</v>
      </c>
      <c r="L24" s="252">
        <v>8118.5</v>
      </c>
      <c r="M24" s="252">
        <v>8118.5</v>
      </c>
      <c r="N24" s="252">
        <v>12989.6</v>
      </c>
      <c r="O24" s="253">
        <v>139324.58</v>
      </c>
    </row>
    <row r="25" spans="1:15" ht="12.75">
      <c r="A25" s="164" t="s">
        <v>141</v>
      </c>
      <c r="B25" s="164" t="s">
        <v>259</v>
      </c>
      <c r="C25" s="201">
        <v>1652.23</v>
      </c>
      <c r="D25" s="202">
        <v>1652.23</v>
      </c>
      <c r="E25" s="202">
        <v>1652.23</v>
      </c>
      <c r="F25" s="202">
        <v>1652.23</v>
      </c>
      <c r="G25" s="202">
        <v>1652.23</v>
      </c>
      <c r="H25" s="202">
        <v>3304.46</v>
      </c>
      <c r="I25" s="202">
        <v>3304.46</v>
      </c>
      <c r="J25" s="202">
        <v>4956.6900000000005</v>
      </c>
      <c r="K25" s="202">
        <v>1652.23</v>
      </c>
      <c r="L25" s="202">
        <v>1652.23</v>
      </c>
      <c r="M25" s="202">
        <v>1652.23</v>
      </c>
      <c r="N25" s="202">
        <v>3304.46</v>
      </c>
      <c r="O25" s="203">
        <v>28087.91</v>
      </c>
    </row>
    <row r="26" spans="1:15" ht="13.5">
      <c r="A26" s="163"/>
      <c r="B26" s="122" t="s">
        <v>152</v>
      </c>
      <c r="C26" s="385">
        <v>85.50999999999999</v>
      </c>
      <c r="D26" s="386">
        <v>85.50999999999999</v>
      </c>
      <c r="E26" s="386">
        <v>85.50999999999999</v>
      </c>
      <c r="F26" s="386">
        <v>85.50999999999999</v>
      </c>
      <c r="G26" s="386">
        <v>85.50999999999999</v>
      </c>
      <c r="H26" s="386">
        <v>171.01999999999998</v>
      </c>
      <c r="I26" s="386">
        <v>57.059999999999945</v>
      </c>
      <c r="J26" s="386">
        <v>85.59000000000015</v>
      </c>
      <c r="K26" s="386">
        <v>28.529999999999973</v>
      </c>
      <c r="L26" s="386">
        <v>28.529999999999973</v>
      </c>
      <c r="M26" s="386">
        <v>28.529999999999973</v>
      </c>
      <c r="N26" s="386">
        <v>57.059999999999945</v>
      </c>
      <c r="O26" s="387">
        <v>883.8699999999999</v>
      </c>
    </row>
    <row r="27" spans="1:15" ht="13.5">
      <c r="A27" s="163"/>
      <c r="B27" s="122" t="s">
        <v>153</v>
      </c>
      <c r="C27" s="385">
        <v>4.13734658902692</v>
      </c>
      <c r="D27" s="386">
        <v>3.9067428754094466</v>
      </c>
      <c r="E27" s="386">
        <v>3.636097299663912</v>
      </c>
      <c r="F27" s="386">
        <v>3.392925209875707</v>
      </c>
      <c r="G27" s="386">
        <v>3.1245973866611356</v>
      </c>
      <c r="H27" s="386">
        <v>5.72807471620166</v>
      </c>
      <c r="I27" s="386">
        <v>1.7538967360328832</v>
      </c>
      <c r="J27" s="386">
        <v>2.344429417701815</v>
      </c>
      <c r="K27" s="386">
        <v>0.7005111123156496</v>
      </c>
      <c r="L27" s="386">
        <v>0.6197913049970161</v>
      </c>
      <c r="M27" s="386">
        <v>0.5307211727833514</v>
      </c>
      <c r="N27" s="386">
        <v>0.8897739704147112</v>
      </c>
      <c r="O27" s="387">
        <v>30.764907791084205</v>
      </c>
    </row>
    <row r="28" spans="1:15" ht="13.5">
      <c r="A28" s="163"/>
      <c r="B28" s="122" t="s">
        <v>154</v>
      </c>
      <c r="C28" s="385">
        <v>89.64734658902691</v>
      </c>
      <c r="D28" s="386">
        <v>89.41674287540944</v>
      </c>
      <c r="E28" s="386">
        <v>89.14609729966391</v>
      </c>
      <c r="F28" s="386">
        <v>88.9029252098757</v>
      </c>
      <c r="G28" s="386">
        <v>88.63459738666113</v>
      </c>
      <c r="H28" s="386">
        <v>176.74807471620164</v>
      </c>
      <c r="I28" s="386">
        <v>58.81389673603283</v>
      </c>
      <c r="J28" s="386">
        <v>87.93442941770196</v>
      </c>
      <c r="K28" s="386">
        <v>29.23051111231562</v>
      </c>
      <c r="L28" s="386">
        <v>29.149791304996988</v>
      </c>
      <c r="M28" s="386">
        <v>29.060721172783325</v>
      </c>
      <c r="N28" s="386">
        <v>57.949773970414654</v>
      </c>
      <c r="O28" s="387">
        <v>914.6349077910841</v>
      </c>
    </row>
    <row r="29" spans="1:15" ht="12.75">
      <c r="A29" s="163"/>
      <c r="B29" s="122" t="s">
        <v>214</v>
      </c>
      <c r="C29" s="251">
        <v>1566.72</v>
      </c>
      <c r="D29" s="252">
        <v>1566.72</v>
      </c>
      <c r="E29" s="252">
        <v>1566.72</v>
      </c>
      <c r="F29" s="252">
        <v>1566.72</v>
      </c>
      <c r="G29" s="252">
        <v>1566.72</v>
      </c>
      <c r="H29" s="252">
        <v>3133.44</v>
      </c>
      <c r="I29" s="252">
        <v>3247.4</v>
      </c>
      <c r="J29" s="252">
        <v>4871.1</v>
      </c>
      <c r="K29" s="252">
        <v>1623.7</v>
      </c>
      <c r="L29" s="252">
        <v>1623.7</v>
      </c>
      <c r="M29" s="252">
        <v>1623.7</v>
      </c>
      <c r="N29" s="252">
        <v>3247.4</v>
      </c>
      <c r="O29" s="253">
        <v>27204.040000000005</v>
      </c>
    </row>
    <row r="30" spans="1:15" ht="12.75">
      <c r="A30" s="164" t="s">
        <v>138</v>
      </c>
      <c r="B30" s="164" t="s">
        <v>259</v>
      </c>
      <c r="C30" s="201">
        <v>1149952.08</v>
      </c>
      <c r="D30" s="202">
        <v>1105341.87</v>
      </c>
      <c r="E30" s="202">
        <v>918639.88</v>
      </c>
      <c r="F30" s="202">
        <v>717067.8200000001</v>
      </c>
      <c r="G30" s="202">
        <v>806288.24</v>
      </c>
      <c r="H30" s="202">
        <v>983076.85</v>
      </c>
      <c r="I30" s="202">
        <v>1110298.56</v>
      </c>
      <c r="J30" s="202">
        <v>1088819.57</v>
      </c>
      <c r="K30" s="202">
        <v>916987.65</v>
      </c>
      <c r="L30" s="202">
        <v>831071.6900000001</v>
      </c>
      <c r="M30" s="202">
        <v>0</v>
      </c>
      <c r="N30" s="202">
        <v>0</v>
      </c>
      <c r="O30" s="203">
        <v>9627544.21</v>
      </c>
    </row>
    <row r="31" spans="1:15" ht="13.5">
      <c r="A31" s="163"/>
      <c r="B31" s="122" t="s">
        <v>152</v>
      </c>
      <c r="C31" s="385">
        <v>59514.95999999996</v>
      </c>
      <c r="D31" s="386">
        <v>57206.19000000006</v>
      </c>
      <c r="E31" s="386">
        <v>47543.55999999994</v>
      </c>
      <c r="F31" s="386">
        <v>37111.340000000084</v>
      </c>
      <c r="G31" s="386">
        <v>41728.880000000005</v>
      </c>
      <c r="H31" s="386">
        <v>50878.44999999995</v>
      </c>
      <c r="I31" s="386">
        <v>19172.159999999916</v>
      </c>
      <c r="J31" s="386">
        <v>18801.27000000002</v>
      </c>
      <c r="K31" s="386">
        <v>15834.150000000023</v>
      </c>
      <c r="L31" s="386">
        <v>14350.590000000084</v>
      </c>
      <c r="M31" s="386">
        <v>0</v>
      </c>
      <c r="N31" s="386">
        <v>0</v>
      </c>
      <c r="O31" s="387">
        <v>362141.55000000005</v>
      </c>
    </row>
    <row r="32" spans="1:15" ht="13.5">
      <c r="A32" s="163"/>
      <c r="B32" s="122" t="s">
        <v>153</v>
      </c>
      <c r="C32" s="385">
        <v>2879.5932259627343</v>
      </c>
      <c r="D32" s="386">
        <v>2613.610983648923</v>
      </c>
      <c r="E32" s="386">
        <v>2021.6700986131327</v>
      </c>
      <c r="F32" s="386">
        <v>1472.5295410860601</v>
      </c>
      <c r="G32" s="386">
        <v>1524.8035246906345</v>
      </c>
      <c r="H32" s="386">
        <v>1704.1022280699926</v>
      </c>
      <c r="I32" s="386">
        <v>589.3093033070467</v>
      </c>
      <c r="J32" s="386">
        <v>514.9929954218316</v>
      </c>
      <c r="K32" s="386">
        <v>388.78366733518646</v>
      </c>
      <c r="L32" s="386">
        <v>311.7550264135012</v>
      </c>
      <c r="M32" s="386">
        <v>0</v>
      </c>
      <c r="N32" s="386">
        <v>0</v>
      </c>
      <c r="O32" s="387">
        <v>14021.150594549044</v>
      </c>
    </row>
    <row r="33" spans="1:15" ht="13.5">
      <c r="A33" s="163"/>
      <c r="B33" s="122" t="s">
        <v>154</v>
      </c>
      <c r="C33" s="385">
        <v>62394.5532259627</v>
      </c>
      <c r="D33" s="386">
        <v>59819.80098364898</v>
      </c>
      <c r="E33" s="386">
        <v>49565.23009861307</v>
      </c>
      <c r="F33" s="386">
        <v>38583.86954108615</v>
      </c>
      <c r="G33" s="386">
        <v>43253.68352469064</v>
      </c>
      <c r="H33" s="386">
        <v>52582.552228069944</v>
      </c>
      <c r="I33" s="386">
        <v>19761.469303306963</v>
      </c>
      <c r="J33" s="386">
        <v>19316.26299542185</v>
      </c>
      <c r="K33" s="386">
        <v>16222.93366733521</v>
      </c>
      <c r="L33" s="386">
        <v>14662.345026413584</v>
      </c>
      <c r="M33" s="386">
        <v>0</v>
      </c>
      <c r="N33" s="386">
        <v>0</v>
      </c>
      <c r="O33" s="387">
        <v>376162.700594549</v>
      </c>
    </row>
    <row r="34" spans="1:15" ht="12.75">
      <c r="A34" s="163"/>
      <c r="B34" s="122" t="s">
        <v>214</v>
      </c>
      <c r="C34" s="251">
        <v>1090437.12</v>
      </c>
      <c r="D34" s="252">
        <v>1048135.68</v>
      </c>
      <c r="E34" s="252">
        <v>871096.3200000001</v>
      </c>
      <c r="F34" s="252">
        <v>679956.48</v>
      </c>
      <c r="G34" s="252">
        <v>764559.36</v>
      </c>
      <c r="H34" s="252">
        <v>932198.4</v>
      </c>
      <c r="I34" s="252">
        <v>1091126.4000000001</v>
      </c>
      <c r="J34" s="252">
        <v>1070018.3</v>
      </c>
      <c r="K34" s="252">
        <v>901153.5</v>
      </c>
      <c r="L34" s="252">
        <v>816721.1</v>
      </c>
      <c r="M34" s="252">
        <v>0</v>
      </c>
      <c r="N34" s="252">
        <v>0</v>
      </c>
      <c r="O34" s="253">
        <v>9265402.66</v>
      </c>
    </row>
    <row r="35" spans="1:15" ht="12.75">
      <c r="A35" s="164" t="s">
        <v>144</v>
      </c>
      <c r="B35" s="164" t="s">
        <v>259</v>
      </c>
      <c r="C35" s="201">
        <v>14870.07</v>
      </c>
      <c r="D35" s="202">
        <v>18174.53</v>
      </c>
      <c r="E35" s="202">
        <v>21478.99</v>
      </c>
      <c r="F35" s="202">
        <v>39653.520000000004</v>
      </c>
      <c r="G35" s="202">
        <v>34696.83</v>
      </c>
      <c r="H35" s="202">
        <v>36349.06</v>
      </c>
      <c r="I35" s="202">
        <v>19826.760000000002</v>
      </c>
      <c r="J35" s="202">
        <v>21478.99</v>
      </c>
      <c r="K35" s="202">
        <v>28087.91</v>
      </c>
      <c r="L35" s="202">
        <v>26435.68</v>
      </c>
      <c r="M35" s="202">
        <v>24783.45</v>
      </c>
      <c r="N35" s="202">
        <v>31392.37</v>
      </c>
      <c r="O35" s="203">
        <v>317228.16</v>
      </c>
    </row>
    <row r="36" spans="1:15" ht="13.5">
      <c r="A36" s="163"/>
      <c r="B36" s="122" t="s">
        <v>152</v>
      </c>
      <c r="C36" s="385">
        <v>769.5900000000001</v>
      </c>
      <c r="D36" s="386">
        <v>940.609999999997</v>
      </c>
      <c r="E36" s="386">
        <v>1111.630000000001</v>
      </c>
      <c r="F36" s="386">
        <v>2052.2400000000052</v>
      </c>
      <c r="G36" s="386">
        <v>1795.7099999999991</v>
      </c>
      <c r="H36" s="386">
        <v>1881.219999999994</v>
      </c>
      <c r="I36" s="386">
        <v>342.3600000000006</v>
      </c>
      <c r="J36" s="386">
        <v>370.8899999999994</v>
      </c>
      <c r="K36" s="386">
        <v>485.0099999999984</v>
      </c>
      <c r="L36" s="386">
        <v>456.47999999999956</v>
      </c>
      <c r="M36" s="386">
        <v>427.9500000000007</v>
      </c>
      <c r="N36" s="386">
        <v>542.0699999999997</v>
      </c>
      <c r="O36" s="387">
        <v>11175.759999999995</v>
      </c>
    </row>
    <row r="37" spans="1:15" ht="13.5">
      <c r="A37" s="163"/>
      <c r="B37" s="122" t="s">
        <v>153</v>
      </c>
      <c r="C37" s="385">
        <v>37.23611930124228</v>
      </c>
      <c r="D37" s="386">
        <v>42.97417162950378</v>
      </c>
      <c r="E37" s="386">
        <v>47.2692648956309</v>
      </c>
      <c r="F37" s="386">
        <v>81.43020503701717</v>
      </c>
      <c r="G37" s="386">
        <v>65.61654511988382</v>
      </c>
      <c r="H37" s="386">
        <v>63.00882187821807</v>
      </c>
      <c r="I37" s="386">
        <v>10.523380416197327</v>
      </c>
      <c r="J37" s="386">
        <v>10.159194143374497</v>
      </c>
      <c r="K37" s="386">
        <v>11.908688909366015</v>
      </c>
      <c r="L37" s="386">
        <v>9.916660879952257</v>
      </c>
      <c r="M37" s="386">
        <v>7.960817591750292</v>
      </c>
      <c r="N37" s="386">
        <v>8.45285271893976</v>
      </c>
      <c r="O37" s="387">
        <v>396.45672252107613</v>
      </c>
    </row>
    <row r="38" spans="1:15" ht="13.5">
      <c r="A38" s="163"/>
      <c r="B38" s="122" t="s">
        <v>154</v>
      </c>
      <c r="C38" s="385">
        <v>806.8261193012424</v>
      </c>
      <c r="D38" s="386">
        <v>983.5841716295007</v>
      </c>
      <c r="E38" s="386">
        <v>1158.8992648956319</v>
      </c>
      <c r="F38" s="386">
        <v>2133.6702050370222</v>
      </c>
      <c r="G38" s="386">
        <v>1861.326545119883</v>
      </c>
      <c r="H38" s="386">
        <v>1944.2288218782119</v>
      </c>
      <c r="I38" s="386">
        <v>352.8833804161979</v>
      </c>
      <c r="J38" s="386">
        <v>381.04919414337394</v>
      </c>
      <c r="K38" s="386">
        <v>496.9186889093644</v>
      </c>
      <c r="L38" s="386">
        <v>466.3966608799518</v>
      </c>
      <c r="M38" s="386">
        <v>435.910817591751</v>
      </c>
      <c r="N38" s="386">
        <v>550.5228527189395</v>
      </c>
      <c r="O38" s="387">
        <v>11572.216722521072</v>
      </c>
    </row>
    <row r="39" spans="1:15" ht="12.75">
      <c r="A39" s="163"/>
      <c r="B39" s="122" t="s">
        <v>214</v>
      </c>
      <c r="C39" s="251">
        <v>14100.48</v>
      </c>
      <c r="D39" s="252">
        <v>17233.920000000002</v>
      </c>
      <c r="E39" s="252">
        <v>20367.36</v>
      </c>
      <c r="F39" s="252">
        <v>37601.28</v>
      </c>
      <c r="G39" s="252">
        <v>32901.12</v>
      </c>
      <c r="H39" s="252">
        <v>34467.840000000004</v>
      </c>
      <c r="I39" s="252">
        <v>19484.4</v>
      </c>
      <c r="J39" s="252">
        <v>21108.100000000002</v>
      </c>
      <c r="K39" s="252">
        <v>27602.9</v>
      </c>
      <c r="L39" s="252">
        <v>25979.2</v>
      </c>
      <c r="M39" s="252">
        <v>24355.5</v>
      </c>
      <c r="N39" s="252">
        <v>30850.3</v>
      </c>
      <c r="O39" s="253">
        <v>306052.39999999997</v>
      </c>
    </row>
    <row r="40" spans="1:15" ht="12.75">
      <c r="A40" s="164" t="s">
        <v>117</v>
      </c>
      <c r="B40" s="164" t="s">
        <v>259</v>
      </c>
      <c r="C40" s="201">
        <v>130526.17</v>
      </c>
      <c r="D40" s="202">
        <v>118960.56</v>
      </c>
      <c r="E40" s="202">
        <v>110699.41</v>
      </c>
      <c r="F40" s="202">
        <v>130526.17</v>
      </c>
      <c r="G40" s="202">
        <v>194963.14</v>
      </c>
      <c r="H40" s="202">
        <v>237921.12</v>
      </c>
      <c r="I40" s="202">
        <v>246182.27</v>
      </c>
      <c r="J40" s="202">
        <v>259400.11000000002</v>
      </c>
      <c r="K40" s="202">
        <v>234616.66</v>
      </c>
      <c r="L40" s="202">
        <v>171831.92</v>
      </c>
      <c r="M40" s="202">
        <v>143744.01</v>
      </c>
      <c r="N40" s="202">
        <v>152005.16</v>
      </c>
      <c r="O40" s="203">
        <v>2131376.6999999997</v>
      </c>
    </row>
    <row r="41" spans="1:15" ht="13.5">
      <c r="A41" s="163"/>
      <c r="B41" s="122" t="s">
        <v>152</v>
      </c>
      <c r="C41" s="385">
        <v>6755.289999999994</v>
      </c>
      <c r="D41" s="386">
        <v>6156.720000000001</v>
      </c>
      <c r="E41" s="386">
        <v>5729.169999999998</v>
      </c>
      <c r="F41" s="386">
        <v>6755.289999999994</v>
      </c>
      <c r="G41" s="386">
        <v>10090.180000000022</v>
      </c>
      <c r="H41" s="386">
        <v>12313.440000000002</v>
      </c>
      <c r="I41" s="386">
        <v>4250.969999999972</v>
      </c>
      <c r="J41" s="386">
        <v>4479.210000000021</v>
      </c>
      <c r="K41" s="386">
        <v>4051.2600000000093</v>
      </c>
      <c r="L41" s="386">
        <v>2967.1199999999953</v>
      </c>
      <c r="M41" s="386">
        <v>2482.110000000015</v>
      </c>
      <c r="N41" s="386">
        <v>2624.7600000000093</v>
      </c>
      <c r="O41" s="387">
        <v>68655.52000000003</v>
      </c>
    </row>
    <row r="42" spans="1:15" ht="13.5">
      <c r="A42" s="163"/>
      <c r="B42" s="122" t="s">
        <v>153</v>
      </c>
      <c r="C42" s="385">
        <v>326.8503805331263</v>
      </c>
      <c r="D42" s="386">
        <v>281.28548702948024</v>
      </c>
      <c r="E42" s="386">
        <v>243.61851907748206</v>
      </c>
      <c r="F42" s="386">
        <v>268.0410915801806</v>
      </c>
      <c r="G42" s="386">
        <v>368.7024916260148</v>
      </c>
      <c r="H42" s="386">
        <v>412.4213795665197</v>
      </c>
      <c r="I42" s="386">
        <v>130.66530683444904</v>
      </c>
      <c r="J42" s="386">
        <v>122.69180619306198</v>
      </c>
      <c r="K42" s="386">
        <v>99.47257794882256</v>
      </c>
      <c r="L42" s="386">
        <v>64.45829571968963</v>
      </c>
      <c r="M42" s="386">
        <v>46.172742032151895</v>
      </c>
      <c r="N42" s="386">
        <v>40.9296026390769</v>
      </c>
      <c r="O42" s="387">
        <v>2405.3096807800553</v>
      </c>
    </row>
    <row r="43" spans="1:15" ht="13.5">
      <c r="A43" s="163"/>
      <c r="B43" s="122" t="s">
        <v>154</v>
      </c>
      <c r="C43" s="385">
        <v>7082.14038053312</v>
      </c>
      <c r="D43" s="386">
        <v>6438.005487029482</v>
      </c>
      <c r="E43" s="386">
        <v>5972.7885190774805</v>
      </c>
      <c r="F43" s="386">
        <v>7023.331091580174</v>
      </c>
      <c r="G43" s="386">
        <v>10458.882491626036</v>
      </c>
      <c r="H43" s="386">
        <v>12725.861379566522</v>
      </c>
      <c r="I43" s="386">
        <v>4381.6353068344215</v>
      </c>
      <c r="J43" s="386">
        <v>4601.901806193083</v>
      </c>
      <c r="K43" s="386">
        <v>4150.732577948832</v>
      </c>
      <c r="L43" s="386">
        <v>3031.578295719685</v>
      </c>
      <c r="M43" s="386">
        <v>2528.282742032167</v>
      </c>
      <c r="N43" s="386">
        <v>2665.6896026390864</v>
      </c>
      <c r="O43" s="387">
        <v>71060.8296807801</v>
      </c>
    </row>
    <row r="44" spans="1:15" ht="12.75">
      <c r="A44" s="163"/>
      <c r="B44" s="122" t="s">
        <v>214</v>
      </c>
      <c r="C44" s="251">
        <v>123770.88</v>
      </c>
      <c r="D44" s="252">
        <v>112803.84</v>
      </c>
      <c r="E44" s="252">
        <v>104970.24</v>
      </c>
      <c r="F44" s="252">
        <v>123770.88</v>
      </c>
      <c r="G44" s="252">
        <v>184872.96</v>
      </c>
      <c r="H44" s="252">
        <v>225607.68</v>
      </c>
      <c r="I44" s="252">
        <v>241931.30000000002</v>
      </c>
      <c r="J44" s="252">
        <v>254920.9</v>
      </c>
      <c r="K44" s="252">
        <v>230565.4</v>
      </c>
      <c r="L44" s="252">
        <v>168864.80000000002</v>
      </c>
      <c r="M44" s="252">
        <v>141261.9</v>
      </c>
      <c r="N44" s="252">
        <v>149380.4</v>
      </c>
      <c r="O44" s="253">
        <v>2062721.1799999997</v>
      </c>
    </row>
    <row r="45" spans="1:15" ht="12.75">
      <c r="A45" s="164" t="s">
        <v>146</v>
      </c>
      <c r="B45" s="164" t="s">
        <v>259</v>
      </c>
      <c r="C45" s="201">
        <v>4325538.14</v>
      </c>
      <c r="D45" s="202">
        <v>3957090.85</v>
      </c>
      <c r="E45" s="202">
        <v>3836478.06</v>
      </c>
      <c r="F45" s="202">
        <v>4218143.19</v>
      </c>
      <c r="G45" s="202">
        <v>5049214.88</v>
      </c>
      <c r="H45" s="202">
        <v>6565962.0200000005</v>
      </c>
      <c r="I45" s="202">
        <v>6656834.67</v>
      </c>
      <c r="J45" s="202">
        <v>6736141.71</v>
      </c>
      <c r="K45" s="202">
        <v>6390825.64</v>
      </c>
      <c r="L45" s="202">
        <v>5191306.66</v>
      </c>
      <c r="M45" s="202">
        <v>4513892.36</v>
      </c>
      <c r="N45" s="202">
        <v>4880687.42</v>
      </c>
      <c r="O45" s="203">
        <v>62322115.60000001</v>
      </c>
    </row>
    <row r="46" spans="1:15" ht="13.5">
      <c r="A46" s="163"/>
      <c r="B46" s="122" t="s">
        <v>152</v>
      </c>
      <c r="C46" s="385">
        <v>223865.1799999997</v>
      </c>
      <c r="D46" s="386">
        <v>204796.4500000002</v>
      </c>
      <c r="E46" s="386">
        <v>198554.2200000002</v>
      </c>
      <c r="F46" s="386">
        <v>218307.03000000026</v>
      </c>
      <c r="G46" s="386">
        <v>261318.5599999996</v>
      </c>
      <c r="H46" s="386">
        <v>339816.7400000002</v>
      </c>
      <c r="I46" s="386">
        <v>114947.37000000011</v>
      </c>
      <c r="J46" s="386">
        <v>116316.80999999959</v>
      </c>
      <c r="K46" s="386">
        <v>110354.0399999991</v>
      </c>
      <c r="L46" s="386">
        <v>89641.25999999978</v>
      </c>
      <c r="M46" s="386">
        <v>77943.95999999996</v>
      </c>
      <c r="N46" s="386">
        <v>84277.62000000011</v>
      </c>
      <c r="O46" s="387">
        <v>2040139.2399999988</v>
      </c>
    </row>
    <row r="47" spans="1:15" ht="13.5">
      <c r="A47" s="163"/>
      <c r="B47" s="122" t="s">
        <v>153</v>
      </c>
      <c r="C47" s="385">
        <v>10831.573370072461</v>
      </c>
      <c r="D47" s="386">
        <v>9356.649186605635</v>
      </c>
      <c r="E47" s="386">
        <v>8443.017929819613</v>
      </c>
      <c r="F47" s="386">
        <v>8662.138060812691</v>
      </c>
      <c r="G47" s="386">
        <v>9548.769613636416</v>
      </c>
      <c r="H47" s="386">
        <v>11381.68446109271</v>
      </c>
      <c r="I47" s="386">
        <v>3533.2249747382502</v>
      </c>
      <c r="J47" s="386">
        <v>3186.0795786567496</v>
      </c>
      <c r="K47" s="386">
        <v>2709.5769824369136</v>
      </c>
      <c r="L47" s="386">
        <v>1947.3842803006212</v>
      </c>
      <c r="M47" s="386">
        <v>1449.9302440441168</v>
      </c>
      <c r="N47" s="386">
        <v>1314.1961543025313</v>
      </c>
      <c r="O47" s="387">
        <v>72364.2248365187</v>
      </c>
    </row>
    <row r="48" spans="1:15" ht="13.5">
      <c r="A48" s="163"/>
      <c r="B48" s="122" t="s">
        <v>154</v>
      </c>
      <c r="C48" s="385">
        <v>234696.75337007217</v>
      </c>
      <c r="D48" s="386">
        <v>214153.09918660583</v>
      </c>
      <c r="E48" s="386">
        <v>206997.23792981982</v>
      </c>
      <c r="F48" s="386">
        <v>226969.16806081295</v>
      </c>
      <c r="G48" s="386">
        <v>270867.329613636</v>
      </c>
      <c r="H48" s="386">
        <v>351198.4244610929</v>
      </c>
      <c r="I48" s="386">
        <v>118480.59497473836</v>
      </c>
      <c r="J48" s="386">
        <v>119502.88957865634</v>
      </c>
      <c r="K48" s="386">
        <v>113063.61698243603</v>
      </c>
      <c r="L48" s="386">
        <v>91588.6442803004</v>
      </c>
      <c r="M48" s="386">
        <v>79393.89024404407</v>
      </c>
      <c r="N48" s="386">
        <v>85591.81615430264</v>
      </c>
      <c r="O48" s="387">
        <v>2112503.464836518</v>
      </c>
    </row>
    <row r="49" spans="1:15" ht="12.75">
      <c r="A49" s="163"/>
      <c r="B49" s="122" t="s">
        <v>214</v>
      </c>
      <c r="C49" s="251">
        <v>4101672.96</v>
      </c>
      <c r="D49" s="252">
        <v>3752294.4</v>
      </c>
      <c r="E49" s="252">
        <v>3637923.84</v>
      </c>
      <c r="F49" s="252">
        <v>3999836.16</v>
      </c>
      <c r="G49" s="252">
        <v>4787896.32</v>
      </c>
      <c r="H49" s="252">
        <v>6226145.28</v>
      </c>
      <c r="I49" s="252">
        <v>6541887.3</v>
      </c>
      <c r="J49" s="252">
        <v>6619824.9</v>
      </c>
      <c r="K49" s="252">
        <v>6280471.600000001</v>
      </c>
      <c r="L49" s="252">
        <v>5101665.4</v>
      </c>
      <c r="M49" s="252">
        <v>4435948.4</v>
      </c>
      <c r="N49" s="252">
        <v>4796409.8</v>
      </c>
      <c r="O49" s="253">
        <v>60281976.36</v>
      </c>
    </row>
    <row r="50" spans="1:15" ht="12.75">
      <c r="A50" s="164" t="s">
        <v>147</v>
      </c>
      <c r="B50" s="164" t="s">
        <v>259</v>
      </c>
      <c r="C50" s="201">
        <v>4690680.97</v>
      </c>
      <c r="D50" s="202">
        <v>4548589.19</v>
      </c>
      <c r="E50" s="202">
        <v>4119009.39</v>
      </c>
      <c r="F50" s="202">
        <v>4109096.0100000002</v>
      </c>
      <c r="G50" s="202">
        <v>4791467</v>
      </c>
      <c r="H50" s="202">
        <v>5572971.79</v>
      </c>
      <c r="I50" s="202">
        <v>5974463.68</v>
      </c>
      <c r="J50" s="202">
        <v>5990985.98</v>
      </c>
      <c r="K50" s="202">
        <v>5490360.29</v>
      </c>
      <c r="L50" s="202">
        <v>4874078.5</v>
      </c>
      <c r="M50" s="202">
        <v>4204925.35</v>
      </c>
      <c r="N50" s="202">
        <v>4930254.32</v>
      </c>
      <c r="O50" s="203">
        <v>59296882.470000006</v>
      </c>
    </row>
    <row r="51" spans="1:15" ht="13.5">
      <c r="A51" s="163"/>
      <c r="B51" s="122" t="s">
        <v>152</v>
      </c>
      <c r="C51" s="385">
        <v>242762.88999999966</v>
      </c>
      <c r="D51" s="386">
        <v>235409.03000000026</v>
      </c>
      <c r="E51" s="386">
        <v>213176.43000000017</v>
      </c>
      <c r="F51" s="386">
        <v>212663.3700000001</v>
      </c>
      <c r="G51" s="386">
        <v>247979</v>
      </c>
      <c r="H51" s="386">
        <v>288425.2299999995</v>
      </c>
      <c r="I51" s="386">
        <v>103164.47999999952</v>
      </c>
      <c r="J51" s="386">
        <v>103449.78000000026</v>
      </c>
      <c r="K51" s="386">
        <v>94805.18999999948</v>
      </c>
      <c r="L51" s="386">
        <v>84163.5</v>
      </c>
      <c r="M51" s="386">
        <v>72608.84999999963</v>
      </c>
      <c r="N51" s="386">
        <v>85133.52000000048</v>
      </c>
      <c r="O51" s="387">
        <v>1983741.269999999</v>
      </c>
    </row>
    <row r="52" spans="1:15" ht="13.5">
      <c r="A52" s="163"/>
      <c r="B52" s="122" t="s">
        <v>153</v>
      </c>
      <c r="C52" s="385">
        <v>11745.926966247409</v>
      </c>
      <c r="D52" s="386">
        <v>10755.26313600222</v>
      </c>
      <c r="E52" s="386">
        <v>9064.79056806214</v>
      </c>
      <c r="F52" s="386">
        <v>8438.204996960887</v>
      </c>
      <c r="G52" s="386">
        <v>9061.332421317293</v>
      </c>
      <c r="H52" s="386">
        <v>9660.398008874085</v>
      </c>
      <c r="I52" s="386">
        <v>3171.045298747441</v>
      </c>
      <c r="J52" s="386">
        <v>2833.633689528929</v>
      </c>
      <c r="K52" s="386">
        <v>2327.798426224893</v>
      </c>
      <c r="L52" s="386">
        <v>1828.384349741199</v>
      </c>
      <c r="M52" s="386">
        <v>1350.6853847336236</v>
      </c>
      <c r="N52" s="386">
        <v>1327.542763858758</v>
      </c>
      <c r="O52" s="387">
        <v>71565.00601029886</v>
      </c>
    </row>
    <row r="53" spans="1:15" ht="13.5">
      <c r="A53" s="163"/>
      <c r="B53" s="122" t="s">
        <v>154</v>
      </c>
      <c r="C53" s="385">
        <v>254508.81696624708</v>
      </c>
      <c r="D53" s="386">
        <v>246164.2931360025</v>
      </c>
      <c r="E53" s="386">
        <v>222241.2205680623</v>
      </c>
      <c r="F53" s="386">
        <v>221101.574996961</v>
      </c>
      <c r="G53" s="386">
        <v>257040.3324213173</v>
      </c>
      <c r="H53" s="386">
        <v>298085.6280088736</v>
      </c>
      <c r="I53" s="386">
        <v>106335.52529874696</v>
      </c>
      <c r="J53" s="386">
        <v>106283.41368952919</v>
      </c>
      <c r="K53" s="386">
        <v>97132.98842622437</v>
      </c>
      <c r="L53" s="386">
        <v>85991.8843497412</v>
      </c>
      <c r="M53" s="386">
        <v>73959.53538473324</v>
      </c>
      <c r="N53" s="386">
        <v>86461.06276385924</v>
      </c>
      <c r="O53" s="387">
        <v>2055306.2760102982</v>
      </c>
    </row>
    <row r="54" spans="1:15" ht="12.75">
      <c r="A54" s="163"/>
      <c r="B54" s="122" t="s">
        <v>214</v>
      </c>
      <c r="C54" s="251">
        <v>4447918.08</v>
      </c>
      <c r="D54" s="252">
        <v>4313180.16</v>
      </c>
      <c r="E54" s="252">
        <v>3905832.96</v>
      </c>
      <c r="F54" s="252">
        <v>3896432.64</v>
      </c>
      <c r="G54" s="252">
        <v>4543488</v>
      </c>
      <c r="H54" s="252">
        <v>5284546.5600000005</v>
      </c>
      <c r="I54" s="252">
        <v>5871299.2</v>
      </c>
      <c r="J54" s="252">
        <v>5887536.2</v>
      </c>
      <c r="K54" s="252">
        <v>5395555.100000001</v>
      </c>
      <c r="L54" s="252">
        <v>4789915</v>
      </c>
      <c r="M54" s="252">
        <v>4132316.5</v>
      </c>
      <c r="N54" s="252">
        <v>4845120.8</v>
      </c>
      <c r="O54" s="253">
        <v>57313141.199999996</v>
      </c>
    </row>
    <row r="55" spans="1:15" ht="12.75">
      <c r="A55" s="164" t="s">
        <v>139</v>
      </c>
      <c r="B55" s="164" t="s">
        <v>259</v>
      </c>
      <c r="C55" s="201">
        <v>165223</v>
      </c>
      <c r="D55" s="202">
        <v>168527.46</v>
      </c>
      <c r="E55" s="202">
        <v>138787.32</v>
      </c>
      <c r="F55" s="202">
        <v>118960.56</v>
      </c>
      <c r="G55" s="202">
        <v>138787.32</v>
      </c>
      <c r="H55" s="202">
        <v>163570.77</v>
      </c>
      <c r="I55" s="202">
        <v>188354.22</v>
      </c>
      <c r="J55" s="202">
        <v>186701.99</v>
      </c>
      <c r="K55" s="202">
        <v>166875.23</v>
      </c>
      <c r="L55" s="202">
        <v>138787.32</v>
      </c>
      <c r="M55" s="202">
        <v>0</v>
      </c>
      <c r="N55" s="202">
        <v>0</v>
      </c>
      <c r="O55" s="203">
        <v>1574575.19</v>
      </c>
    </row>
    <row r="56" spans="1:15" ht="13.5">
      <c r="A56" s="163"/>
      <c r="B56" s="122" t="s">
        <v>152</v>
      </c>
      <c r="C56" s="385">
        <v>8551</v>
      </c>
      <c r="D56" s="386">
        <v>8722.01999999999</v>
      </c>
      <c r="E56" s="386">
        <v>7182.8399999999965</v>
      </c>
      <c r="F56" s="386">
        <v>6156.720000000001</v>
      </c>
      <c r="G56" s="386">
        <v>7182.8399999999965</v>
      </c>
      <c r="H56" s="386">
        <v>8465.48999999999</v>
      </c>
      <c r="I56" s="386">
        <v>3252.4199999999837</v>
      </c>
      <c r="J56" s="386">
        <v>3223.889999999985</v>
      </c>
      <c r="K56" s="386">
        <v>2881.529999999999</v>
      </c>
      <c r="L56" s="386">
        <v>2396.5199999999895</v>
      </c>
      <c r="M56" s="386">
        <v>0</v>
      </c>
      <c r="N56" s="386">
        <v>0</v>
      </c>
      <c r="O56" s="387">
        <v>58015.26999999993</v>
      </c>
    </row>
    <row r="57" spans="1:15" ht="13.5">
      <c r="A57" s="163"/>
      <c r="B57" s="122" t="s">
        <v>153</v>
      </c>
      <c r="C57" s="385">
        <v>413.73465890269193</v>
      </c>
      <c r="D57" s="386">
        <v>398.4877732917632</v>
      </c>
      <c r="E57" s="386">
        <v>305.43217317176845</v>
      </c>
      <c r="F57" s="386">
        <v>244.29061511105095</v>
      </c>
      <c r="G57" s="386">
        <v>262.4661804795353</v>
      </c>
      <c r="H57" s="386">
        <v>283.53969845198185</v>
      </c>
      <c r="I57" s="386">
        <v>99.97211395387394</v>
      </c>
      <c r="J57" s="386">
        <v>88.30684140010112</v>
      </c>
      <c r="K57" s="386">
        <v>70.75162234388065</v>
      </c>
      <c r="L57" s="386">
        <v>52.062469619749166</v>
      </c>
      <c r="M57" s="386">
        <v>0</v>
      </c>
      <c r="N57" s="386">
        <v>0</v>
      </c>
      <c r="O57" s="387">
        <v>2219.044146726397</v>
      </c>
    </row>
    <row r="58" spans="1:15" ht="13.5">
      <c r="A58" s="163"/>
      <c r="B58" s="122" t="s">
        <v>154</v>
      </c>
      <c r="C58" s="385">
        <v>8964.734658902691</v>
      </c>
      <c r="D58" s="386">
        <v>9120.507773291753</v>
      </c>
      <c r="E58" s="386">
        <v>7488.272173171765</v>
      </c>
      <c r="F58" s="386">
        <v>6401.010615111052</v>
      </c>
      <c r="G58" s="386">
        <v>7445.306180479532</v>
      </c>
      <c r="H58" s="386">
        <v>8749.029698451972</v>
      </c>
      <c r="I58" s="386">
        <v>3352.3921139538575</v>
      </c>
      <c r="J58" s="386">
        <v>3312.1968414000858</v>
      </c>
      <c r="K58" s="386">
        <v>2952.2816223438795</v>
      </c>
      <c r="L58" s="386">
        <v>2448.5824696197387</v>
      </c>
      <c r="M58" s="386">
        <v>0</v>
      </c>
      <c r="N58" s="386">
        <v>0</v>
      </c>
      <c r="O58" s="387">
        <v>60234.31414672633</v>
      </c>
    </row>
    <row r="59" spans="1:15" ht="12.75">
      <c r="A59" s="163"/>
      <c r="B59" s="122" t="s">
        <v>214</v>
      </c>
      <c r="C59" s="251">
        <v>156672</v>
      </c>
      <c r="D59" s="252">
        <v>159805.44</v>
      </c>
      <c r="E59" s="252">
        <v>131604.48</v>
      </c>
      <c r="F59" s="252">
        <v>112803.84</v>
      </c>
      <c r="G59" s="252">
        <v>131604.48</v>
      </c>
      <c r="H59" s="252">
        <v>155105.28</v>
      </c>
      <c r="I59" s="252">
        <v>185101.80000000002</v>
      </c>
      <c r="J59" s="252">
        <v>183478.1</v>
      </c>
      <c r="K59" s="252">
        <v>163993.7</v>
      </c>
      <c r="L59" s="252">
        <v>136390.80000000002</v>
      </c>
      <c r="M59" s="252">
        <v>0</v>
      </c>
      <c r="N59" s="252">
        <v>0</v>
      </c>
      <c r="O59" s="253">
        <v>1516559.9200000002</v>
      </c>
    </row>
    <row r="60" spans="1:15" ht="12.75">
      <c r="A60" s="164" t="s">
        <v>118</v>
      </c>
      <c r="B60" s="164" t="s">
        <v>259</v>
      </c>
      <c r="C60" s="201">
        <v>59480.28</v>
      </c>
      <c r="D60" s="202">
        <v>56175.82</v>
      </c>
      <c r="E60" s="202">
        <v>51219.13</v>
      </c>
      <c r="F60" s="202">
        <v>47914.67</v>
      </c>
      <c r="G60" s="202">
        <v>49566.9</v>
      </c>
      <c r="H60" s="202">
        <v>59480.28</v>
      </c>
      <c r="I60" s="202">
        <v>62784.74</v>
      </c>
      <c r="J60" s="202">
        <v>66089.2</v>
      </c>
      <c r="K60" s="202">
        <v>59480.28</v>
      </c>
      <c r="L60" s="202">
        <v>42957.98</v>
      </c>
      <c r="M60" s="202">
        <v>42957.98</v>
      </c>
      <c r="N60" s="202">
        <v>64436.97</v>
      </c>
      <c r="O60" s="203">
        <v>662544.23</v>
      </c>
    </row>
    <row r="61" spans="1:15" ht="13.5">
      <c r="A61" s="163"/>
      <c r="B61" s="122" t="s">
        <v>152</v>
      </c>
      <c r="C61" s="385">
        <v>3078.3600000000006</v>
      </c>
      <c r="D61" s="386">
        <v>2907.3399999999965</v>
      </c>
      <c r="E61" s="386">
        <v>2650.8099999999977</v>
      </c>
      <c r="F61" s="386">
        <v>2479.790000000001</v>
      </c>
      <c r="G61" s="386">
        <v>2565.300000000003</v>
      </c>
      <c r="H61" s="386">
        <v>3078.3600000000006</v>
      </c>
      <c r="I61" s="386">
        <v>1084.1399999999994</v>
      </c>
      <c r="J61" s="386">
        <v>1141.199999999997</v>
      </c>
      <c r="K61" s="386">
        <v>1027.0799999999945</v>
      </c>
      <c r="L61" s="386">
        <v>741.7799999999988</v>
      </c>
      <c r="M61" s="386">
        <v>741.7799999999988</v>
      </c>
      <c r="N61" s="386">
        <v>1112.6699999999983</v>
      </c>
      <c r="O61" s="387">
        <v>22608.609999999986</v>
      </c>
    </row>
    <row r="62" spans="1:15" ht="13.5">
      <c r="A62" s="163"/>
      <c r="B62" s="122" t="s">
        <v>153</v>
      </c>
      <c r="C62" s="385">
        <v>148.94447720496913</v>
      </c>
      <c r="D62" s="386">
        <v>132.82925776392105</v>
      </c>
      <c r="E62" s="386">
        <v>112.71901628958119</v>
      </c>
      <c r="F62" s="386">
        <v>98.39483108639553</v>
      </c>
      <c r="G62" s="386">
        <v>93.7379215998342</v>
      </c>
      <c r="H62" s="386">
        <v>103.10534489162993</v>
      </c>
      <c r="I62" s="386">
        <v>33.324037984624795</v>
      </c>
      <c r="J62" s="386">
        <v>31.259058902690725</v>
      </c>
      <c r="K62" s="386">
        <v>25.218400043363275</v>
      </c>
      <c r="L62" s="386">
        <v>16.114573929922408</v>
      </c>
      <c r="M62" s="386">
        <v>13.798750492367128</v>
      </c>
      <c r="N62" s="386">
        <v>17.350592423086855</v>
      </c>
      <c r="O62" s="387">
        <v>826.7962626123862</v>
      </c>
    </row>
    <row r="63" spans="1:15" ht="13.5">
      <c r="A63" s="163"/>
      <c r="B63" s="122" t="s">
        <v>154</v>
      </c>
      <c r="C63" s="385">
        <v>3227.3044772049698</v>
      </c>
      <c r="D63" s="386">
        <v>3040.1692577639174</v>
      </c>
      <c r="E63" s="386">
        <v>2763.529016289579</v>
      </c>
      <c r="F63" s="386">
        <v>2578.1848310863966</v>
      </c>
      <c r="G63" s="386">
        <v>2659.0379215998373</v>
      </c>
      <c r="H63" s="386">
        <v>3181.4653448916306</v>
      </c>
      <c r="I63" s="386">
        <v>1117.4640379846242</v>
      </c>
      <c r="J63" s="386">
        <v>1172.4590589026877</v>
      </c>
      <c r="K63" s="386">
        <v>1052.2984000433578</v>
      </c>
      <c r="L63" s="386">
        <v>757.8945739299212</v>
      </c>
      <c r="M63" s="386">
        <v>755.578750492366</v>
      </c>
      <c r="N63" s="386">
        <v>1130.0205924230852</v>
      </c>
      <c r="O63" s="387">
        <v>23435.406262612374</v>
      </c>
    </row>
    <row r="64" spans="1:15" ht="12.75">
      <c r="A64" s="163"/>
      <c r="B64" s="122" t="s">
        <v>214</v>
      </c>
      <c r="C64" s="251">
        <v>56401.92</v>
      </c>
      <c r="D64" s="252">
        <v>53268.48</v>
      </c>
      <c r="E64" s="252">
        <v>48568.32</v>
      </c>
      <c r="F64" s="252">
        <v>45434.88</v>
      </c>
      <c r="G64" s="252">
        <v>47001.6</v>
      </c>
      <c r="H64" s="252">
        <v>56401.92</v>
      </c>
      <c r="I64" s="252">
        <v>61700.6</v>
      </c>
      <c r="J64" s="252">
        <v>64948</v>
      </c>
      <c r="K64" s="252">
        <v>58453.200000000004</v>
      </c>
      <c r="L64" s="252">
        <v>42216.200000000004</v>
      </c>
      <c r="M64" s="252">
        <v>42216.200000000004</v>
      </c>
      <c r="N64" s="252">
        <v>63324.3</v>
      </c>
      <c r="O64" s="253">
        <v>639935.62</v>
      </c>
    </row>
    <row r="65" spans="1:15" ht="12.75">
      <c r="A65" s="164" t="s">
        <v>221</v>
      </c>
      <c r="B65" s="164" t="s">
        <v>259</v>
      </c>
      <c r="C65" s="201">
        <v>171831.92</v>
      </c>
      <c r="D65" s="202">
        <v>152005.16</v>
      </c>
      <c r="E65" s="202">
        <v>142091.78</v>
      </c>
      <c r="F65" s="202">
        <v>153657.39</v>
      </c>
      <c r="G65" s="202">
        <v>175136.38</v>
      </c>
      <c r="H65" s="202">
        <v>252791.19</v>
      </c>
      <c r="I65" s="202">
        <v>252791.19</v>
      </c>
      <c r="J65" s="202">
        <v>256095.65</v>
      </c>
      <c r="K65" s="202">
        <v>228007.74</v>
      </c>
      <c r="L65" s="202">
        <v>191658.68</v>
      </c>
      <c r="M65" s="202">
        <v>163570.77</v>
      </c>
      <c r="N65" s="202">
        <v>186701.99</v>
      </c>
      <c r="O65" s="203">
        <v>2326339.84</v>
      </c>
    </row>
    <row r="66" spans="1:15" ht="12.75">
      <c r="A66" s="163"/>
      <c r="B66" s="122" t="s">
        <v>152</v>
      </c>
      <c r="C66" s="251">
        <v>8893.040000000008</v>
      </c>
      <c r="D66" s="252">
        <v>7866.920000000013</v>
      </c>
      <c r="E66" s="252">
        <v>7353.859999999986</v>
      </c>
      <c r="F66" s="252">
        <v>7952.430000000022</v>
      </c>
      <c r="G66" s="252">
        <v>9064.059999999998</v>
      </c>
      <c r="H66" s="252">
        <v>13083.029999999999</v>
      </c>
      <c r="I66" s="252">
        <v>4365.0899999999965</v>
      </c>
      <c r="J66" s="252">
        <v>4422.149999999994</v>
      </c>
      <c r="K66" s="252">
        <v>3937.139999999985</v>
      </c>
      <c r="L66" s="252">
        <v>3309.4799999999814</v>
      </c>
      <c r="M66" s="252">
        <v>2824.469999999972</v>
      </c>
      <c r="N66" s="252">
        <v>3223.889999999985</v>
      </c>
      <c r="O66" s="253">
        <v>76295.55999999994</v>
      </c>
    </row>
    <row r="67" spans="1:15" ht="12.75">
      <c r="A67" s="163"/>
      <c r="B67" s="122" t="s">
        <v>153</v>
      </c>
      <c r="C67" s="251">
        <v>430.28404525880006</v>
      </c>
      <c r="D67" s="252">
        <v>359.42034453766973</v>
      </c>
      <c r="E67" s="252">
        <v>312.7043677710958</v>
      </c>
      <c r="F67" s="252">
        <v>315.5420445184417</v>
      </c>
      <c r="G67" s="252">
        <v>331.2073229860803</v>
      </c>
      <c r="H67" s="252">
        <v>438.197715789427</v>
      </c>
      <c r="I67" s="252">
        <v>134.17310030651558</v>
      </c>
      <c r="J67" s="252">
        <v>121.12885324792673</v>
      </c>
      <c r="K67" s="252">
        <v>96.67053349955937</v>
      </c>
      <c r="L67" s="252">
        <v>71.89579137965353</v>
      </c>
      <c r="M67" s="252">
        <v>52.541396105551314</v>
      </c>
      <c r="N67" s="252">
        <v>50.272229328430996</v>
      </c>
      <c r="O67" s="253">
        <v>2714.037744729152</v>
      </c>
    </row>
    <row r="68" spans="1:15" ht="12.75">
      <c r="A68" s="163"/>
      <c r="B68" s="122" t="s">
        <v>154</v>
      </c>
      <c r="C68" s="251">
        <v>9323.324045258809</v>
      </c>
      <c r="D68" s="252">
        <v>8226.340344537683</v>
      </c>
      <c r="E68" s="252">
        <v>7666.564367771081</v>
      </c>
      <c r="F68" s="252">
        <v>8267.972044518463</v>
      </c>
      <c r="G68" s="252">
        <v>9395.267322986077</v>
      </c>
      <c r="H68" s="252">
        <v>13521.227715789426</v>
      </c>
      <c r="I68" s="252">
        <v>4499.263100306512</v>
      </c>
      <c r="J68" s="252">
        <v>4543.278853247921</v>
      </c>
      <c r="K68" s="252">
        <v>4033.8105334995444</v>
      </c>
      <c r="L68" s="252">
        <v>3381.375791379635</v>
      </c>
      <c r="M68" s="252">
        <v>2877.0113961055235</v>
      </c>
      <c r="N68" s="252">
        <v>3274.162229328416</v>
      </c>
      <c r="O68" s="253">
        <v>79009.5977447291</v>
      </c>
    </row>
    <row r="69" spans="1:15" ht="12.75">
      <c r="A69" s="163"/>
      <c r="B69" s="122" t="s">
        <v>214</v>
      </c>
      <c r="C69" s="251">
        <v>162938.88</v>
      </c>
      <c r="D69" s="252">
        <v>144138.24</v>
      </c>
      <c r="E69" s="252">
        <v>134737.92</v>
      </c>
      <c r="F69" s="252">
        <v>145704.96</v>
      </c>
      <c r="G69" s="252">
        <v>166072.32</v>
      </c>
      <c r="H69" s="252">
        <v>239708.16</v>
      </c>
      <c r="I69" s="252">
        <v>248426.1</v>
      </c>
      <c r="J69" s="252">
        <v>251673.5</v>
      </c>
      <c r="K69" s="252">
        <v>224070.6</v>
      </c>
      <c r="L69" s="252">
        <v>188349.2</v>
      </c>
      <c r="M69" s="252">
        <v>160746.30000000002</v>
      </c>
      <c r="N69" s="252">
        <v>183478.1</v>
      </c>
      <c r="O69" s="253">
        <v>2250044.2800000003</v>
      </c>
    </row>
    <row r="70" spans="1:15" ht="12.75">
      <c r="A70" s="164" t="s">
        <v>222</v>
      </c>
      <c r="B70" s="164" t="s">
        <v>259</v>
      </c>
      <c r="C70" s="201">
        <v>23131.22</v>
      </c>
      <c r="D70" s="202">
        <v>18174.53</v>
      </c>
      <c r="E70" s="202">
        <v>16522.3</v>
      </c>
      <c r="F70" s="202">
        <v>18174.53</v>
      </c>
      <c r="G70" s="202">
        <v>18174.53</v>
      </c>
      <c r="H70" s="202">
        <v>21478.99</v>
      </c>
      <c r="I70" s="202">
        <v>24783.45</v>
      </c>
      <c r="J70" s="202">
        <v>23131.22</v>
      </c>
      <c r="K70" s="202">
        <v>21478.99</v>
      </c>
      <c r="L70" s="202">
        <v>21478.99</v>
      </c>
      <c r="M70" s="202">
        <v>23131.22</v>
      </c>
      <c r="N70" s="202">
        <v>18174.53</v>
      </c>
      <c r="O70" s="203">
        <v>247834.5</v>
      </c>
    </row>
    <row r="71" spans="1:15" ht="12.75">
      <c r="A71" s="163"/>
      <c r="B71" s="122" t="s">
        <v>152</v>
      </c>
      <c r="C71" s="251">
        <v>1197.1399999999994</v>
      </c>
      <c r="D71" s="252">
        <v>940.609999999997</v>
      </c>
      <c r="E71" s="252">
        <v>855.0999999999985</v>
      </c>
      <c r="F71" s="252">
        <v>940.609999999997</v>
      </c>
      <c r="G71" s="252">
        <v>940.609999999997</v>
      </c>
      <c r="H71" s="252">
        <v>1111.630000000001</v>
      </c>
      <c r="I71" s="252">
        <v>427.9500000000007</v>
      </c>
      <c r="J71" s="252">
        <v>399.4200000000019</v>
      </c>
      <c r="K71" s="252">
        <v>370.8899999999994</v>
      </c>
      <c r="L71" s="252">
        <v>370.8899999999994</v>
      </c>
      <c r="M71" s="252">
        <v>399.4200000000019</v>
      </c>
      <c r="N71" s="252">
        <v>313.8299999999981</v>
      </c>
      <c r="O71" s="253">
        <v>8268.099999999991</v>
      </c>
    </row>
    <row r="72" spans="1:15" ht="12.75">
      <c r="A72" s="163"/>
      <c r="B72" s="122" t="s">
        <v>153</v>
      </c>
      <c r="C72" s="251">
        <v>57.92285224637684</v>
      </c>
      <c r="D72" s="252">
        <v>42.97417162950378</v>
      </c>
      <c r="E72" s="252">
        <v>36.36097299663906</v>
      </c>
      <c r="F72" s="252">
        <v>37.32217730863266</v>
      </c>
      <c r="G72" s="252">
        <v>34.37057125327239</v>
      </c>
      <c r="H72" s="252">
        <v>37.23248565531083</v>
      </c>
      <c r="I72" s="252">
        <v>13.154225520246658</v>
      </c>
      <c r="J72" s="252">
        <v>10.940670615941835</v>
      </c>
      <c r="K72" s="252">
        <v>9.106644460103439</v>
      </c>
      <c r="L72" s="252">
        <v>8.057286964961204</v>
      </c>
      <c r="M72" s="252">
        <v>7.430096418966961</v>
      </c>
      <c r="N72" s="252">
        <v>4.893756837280886</v>
      </c>
      <c r="O72" s="253">
        <v>299.7659119072365</v>
      </c>
    </row>
    <row r="73" spans="1:15" ht="12.75">
      <c r="A73" s="163"/>
      <c r="B73" s="122" t="s">
        <v>154</v>
      </c>
      <c r="C73" s="251">
        <v>1255.0628522463762</v>
      </c>
      <c r="D73" s="252">
        <v>983.5841716295007</v>
      </c>
      <c r="E73" s="252">
        <v>891.4609729966376</v>
      </c>
      <c r="F73" s="252">
        <v>977.9321773086297</v>
      </c>
      <c r="G73" s="252">
        <v>974.9805712532693</v>
      </c>
      <c r="H73" s="252">
        <v>1148.862485655312</v>
      </c>
      <c r="I73" s="252">
        <v>441.1042255202474</v>
      </c>
      <c r="J73" s="252">
        <v>410.3606706159437</v>
      </c>
      <c r="K73" s="252">
        <v>379.99664446010286</v>
      </c>
      <c r="L73" s="252">
        <v>378.9472869649606</v>
      </c>
      <c r="M73" s="252">
        <v>406.85009641896886</v>
      </c>
      <c r="N73" s="252">
        <v>318.723756837279</v>
      </c>
      <c r="O73" s="253">
        <v>8567.865911907227</v>
      </c>
    </row>
    <row r="74" spans="1:15" ht="12.75">
      <c r="A74" s="163"/>
      <c r="B74" s="122" t="s">
        <v>214</v>
      </c>
      <c r="C74" s="251">
        <v>21934.08</v>
      </c>
      <c r="D74" s="252">
        <v>17233.920000000002</v>
      </c>
      <c r="E74" s="252">
        <v>15667.2</v>
      </c>
      <c r="F74" s="252">
        <v>17233.920000000002</v>
      </c>
      <c r="G74" s="252">
        <v>17233.920000000002</v>
      </c>
      <c r="H74" s="252">
        <v>20367.36</v>
      </c>
      <c r="I74" s="252">
        <v>24355.5</v>
      </c>
      <c r="J74" s="252">
        <v>22731.8</v>
      </c>
      <c r="K74" s="252">
        <v>21108.100000000002</v>
      </c>
      <c r="L74" s="252">
        <v>21108.100000000002</v>
      </c>
      <c r="M74" s="252">
        <v>22731.8</v>
      </c>
      <c r="N74" s="252">
        <v>17860.7</v>
      </c>
      <c r="O74" s="253">
        <v>239566.4</v>
      </c>
    </row>
    <row r="75" spans="1:15" ht="12.75">
      <c r="A75" s="164" t="s">
        <v>223</v>
      </c>
      <c r="B75" s="164" t="s">
        <v>259</v>
      </c>
      <c r="C75" s="201">
        <v>34696.83</v>
      </c>
      <c r="D75" s="202">
        <v>34696.83</v>
      </c>
      <c r="E75" s="202">
        <v>29740.14</v>
      </c>
      <c r="F75" s="202">
        <v>38001.29</v>
      </c>
      <c r="G75" s="202">
        <v>49566.9</v>
      </c>
      <c r="H75" s="202">
        <v>54523.590000000004</v>
      </c>
      <c r="I75" s="202">
        <v>62784.74</v>
      </c>
      <c r="J75" s="202">
        <v>62784.74</v>
      </c>
      <c r="K75" s="202">
        <v>38001.29</v>
      </c>
      <c r="L75" s="202">
        <v>47914.67</v>
      </c>
      <c r="M75" s="202">
        <v>38001.29</v>
      </c>
      <c r="N75" s="202">
        <v>36349.06</v>
      </c>
      <c r="O75" s="203">
        <v>527061.3699999999</v>
      </c>
    </row>
    <row r="76" spans="1:15" ht="12.75">
      <c r="A76" s="163"/>
      <c r="B76" s="122" t="s">
        <v>152</v>
      </c>
      <c r="C76" s="251">
        <v>1795.7099999999991</v>
      </c>
      <c r="D76" s="252">
        <v>1795.7099999999991</v>
      </c>
      <c r="E76" s="252">
        <v>1539.1800000000003</v>
      </c>
      <c r="F76" s="252">
        <v>1966.7300000000032</v>
      </c>
      <c r="G76" s="252">
        <v>2565.300000000003</v>
      </c>
      <c r="H76" s="252">
        <v>2821.8300000000017</v>
      </c>
      <c r="I76" s="252">
        <v>1084.1399999999994</v>
      </c>
      <c r="J76" s="252">
        <v>1084.1399999999994</v>
      </c>
      <c r="K76" s="252">
        <v>656.1900000000023</v>
      </c>
      <c r="L76" s="252">
        <v>827.3699999999953</v>
      </c>
      <c r="M76" s="252">
        <v>656.1900000000023</v>
      </c>
      <c r="N76" s="252">
        <v>627.6599999999962</v>
      </c>
      <c r="O76" s="253">
        <v>17420.15</v>
      </c>
    </row>
    <row r="77" spans="1:15" ht="12.75">
      <c r="A77" s="163"/>
      <c r="B77" s="122" t="s">
        <v>153</v>
      </c>
      <c r="C77" s="251">
        <v>86.88427836956527</v>
      </c>
      <c r="D77" s="252">
        <v>82.04160038359835</v>
      </c>
      <c r="E77" s="252">
        <v>65.44975139395044</v>
      </c>
      <c r="F77" s="252">
        <v>78.03727982714139</v>
      </c>
      <c r="G77" s="252">
        <v>93.7379215998342</v>
      </c>
      <c r="H77" s="252">
        <v>94.51323281732746</v>
      </c>
      <c r="I77" s="252">
        <v>33.324037984624795</v>
      </c>
      <c r="J77" s="252">
        <v>29.696105957556252</v>
      </c>
      <c r="K77" s="252">
        <v>16.111755583260013</v>
      </c>
      <c r="L77" s="252">
        <v>17.973947844913383</v>
      </c>
      <c r="M77" s="252">
        <v>12.206586974017139</v>
      </c>
      <c r="N77" s="252">
        <v>9.787513674561772</v>
      </c>
      <c r="O77" s="253">
        <v>619.7640124103502</v>
      </c>
    </row>
    <row r="78" spans="1:15" ht="12.75">
      <c r="A78" s="163"/>
      <c r="B78" s="122" t="s">
        <v>154</v>
      </c>
      <c r="C78" s="251">
        <v>1882.5942783695643</v>
      </c>
      <c r="D78" s="252">
        <v>1877.7516003835974</v>
      </c>
      <c r="E78" s="252">
        <v>1604.6297513939508</v>
      </c>
      <c r="F78" s="252">
        <v>2044.7672798271446</v>
      </c>
      <c r="G78" s="252">
        <v>2659.0379215998373</v>
      </c>
      <c r="H78" s="252">
        <v>2916.3432328173294</v>
      </c>
      <c r="I78" s="252">
        <v>1117.4640379846242</v>
      </c>
      <c r="J78" s="252">
        <v>1113.8361059575557</v>
      </c>
      <c r="K78" s="252">
        <v>672.3017555832623</v>
      </c>
      <c r="L78" s="252">
        <v>845.3439478449087</v>
      </c>
      <c r="M78" s="252">
        <v>668.3965869740194</v>
      </c>
      <c r="N78" s="252">
        <v>637.447513674558</v>
      </c>
      <c r="O78" s="253">
        <v>18039.914012410354</v>
      </c>
    </row>
    <row r="79" spans="1:15" ht="12.75">
      <c r="A79" s="163"/>
      <c r="B79" s="122" t="s">
        <v>214</v>
      </c>
      <c r="C79" s="251">
        <v>32901.12</v>
      </c>
      <c r="D79" s="252">
        <v>32901.12</v>
      </c>
      <c r="E79" s="252">
        <v>28200.96</v>
      </c>
      <c r="F79" s="252">
        <v>36034.56</v>
      </c>
      <c r="G79" s="252">
        <v>47001.6</v>
      </c>
      <c r="H79" s="252">
        <v>51701.76</v>
      </c>
      <c r="I79" s="252">
        <v>61700.6</v>
      </c>
      <c r="J79" s="252">
        <v>61700.6</v>
      </c>
      <c r="K79" s="252">
        <v>37345.1</v>
      </c>
      <c r="L79" s="252">
        <v>47087.3</v>
      </c>
      <c r="M79" s="252">
        <v>37345.1</v>
      </c>
      <c r="N79" s="252">
        <v>35721.4</v>
      </c>
      <c r="O79" s="253">
        <v>509641.22</v>
      </c>
    </row>
    <row r="80" spans="1:15" ht="12.75">
      <c r="A80" s="164" t="s">
        <v>224</v>
      </c>
      <c r="B80" s="164" t="s">
        <v>259</v>
      </c>
      <c r="C80" s="201">
        <v>67741.43000000001</v>
      </c>
      <c r="D80" s="202">
        <v>67741.43000000001</v>
      </c>
      <c r="E80" s="202">
        <v>64436.97</v>
      </c>
      <c r="F80" s="202">
        <v>62784.74</v>
      </c>
      <c r="G80" s="202">
        <v>79307.04000000001</v>
      </c>
      <c r="H80" s="202">
        <v>90872.65</v>
      </c>
      <c r="I80" s="202">
        <v>97481.57</v>
      </c>
      <c r="J80" s="202">
        <v>97481.57</v>
      </c>
      <c r="K80" s="202">
        <v>87568.19</v>
      </c>
      <c r="L80" s="202">
        <v>80959.27</v>
      </c>
      <c r="M80" s="202">
        <v>71045.89</v>
      </c>
      <c r="N80" s="202">
        <v>74350.35</v>
      </c>
      <c r="O80" s="203">
        <v>941771.1000000001</v>
      </c>
    </row>
    <row r="81" spans="1:15" ht="12.75">
      <c r="A81" s="163"/>
      <c r="B81" s="122" t="s">
        <v>152</v>
      </c>
      <c r="C81" s="251">
        <v>3505.9100000000035</v>
      </c>
      <c r="D81" s="252">
        <v>3505.9100000000035</v>
      </c>
      <c r="E81" s="252">
        <v>3334.8899999999994</v>
      </c>
      <c r="F81" s="252">
        <v>3249.3799999999974</v>
      </c>
      <c r="G81" s="252">
        <v>4104.4800000000105</v>
      </c>
      <c r="H81" s="252">
        <v>4703.049999999988</v>
      </c>
      <c r="I81" s="252">
        <v>1683.270000000004</v>
      </c>
      <c r="J81" s="252">
        <v>1683.270000000004</v>
      </c>
      <c r="K81" s="252">
        <v>1512.0899999999965</v>
      </c>
      <c r="L81" s="252">
        <v>1397.9700000000012</v>
      </c>
      <c r="M81" s="252">
        <v>1226.7899999999936</v>
      </c>
      <c r="N81" s="252">
        <v>1283.8500000000058</v>
      </c>
      <c r="O81" s="253">
        <v>31190.860000000008</v>
      </c>
    </row>
    <row r="82" spans="1:15" ht="12.75">
      <c r="A82" s="163"/>
      <c r="B82" s="122" t="s">
        <v>153</v>
      </c>
      <c r="C82" s="251">
        <v>169.63121015010387</v>
      </c>
      <c r="D82" s="252">
        <v>160.17645789178752</v>
      </c>
      <c r="E82" s="252">
        <v>141.80779468689255</v>
      </c>
      <c r="F82" s="252">
        <v>128.9311579752768</v>
      </c>
      <c r="G82" s="252">
        <v>149.98067455973492</v>
      </c>
      <c r="H82" s="252">
        <v>157.5220546955453</v>
      </c>
      <c r="I82" s="252">
        <v>51.73995371297022</v>
      </c>
      <c r="J82" s="252">
        <v>46.10711188146905</v>
      </c>
      <c r="K82" s="252">
        <v>37.12708895272938</v>
      </c>
      <c r="L82" s="252">
        <v>30.36977394485384</v>
      </c>
      <c r="M82" s="252">
        <v>22.821010429684012</v>
      </c>
      <c r="N82" s="252">
        <v>20.019914334331112</v>
      </c>
      <c r="O82" s="253">
        <v>1116.2342032153786</v>
      </c>
    </row>
    <row r="83" spans="1:15" ht="12.75">
      <c r="A83" s="163"/>
      <c r="B83" s="122" t="s">
        <v>154</v>
      </c>
      <c r="C83" s="251">
        <v>3675.5412101501074</v>
      </c>
      <c r="D83" s="252">
        <v>3666.086457891791</v>
      </c>
      <c r="E83" s="252">
        <v>3476.697794686892</v>
      </c>
      <c r="F83" s="252">
        <v>3378.311157975274</v>
      </c>
      <c r="G83" s="252">
        <v>4254.460674559746</v>
      </c>
      <c r="H83" s="252">
        <v>4860.572054695534</v>
      </c>
      <c r="I83" s="252">
        <v>1735.0099537129743</v>
      </c>
      <c r="J83" s="252">
        <v>1729.3771118814732</v>
      </c>
      <c r="K83" s="252">
        <v>1549.2170889527258</v>
      </c>
      <c r="L83" s="252">
        <v>1428.339773944855</v>
      </c>
      <c r="M83" s="252">
        <v>1249.6110104296777</v>
      </c>
      <c r="N83" s="252">
        <v>1303.869914334337</v>
      </c>
      <c r="O83" s="253">
        <v>32307.094203215387</v>
      </c>
    </row>
    <row r="84" spans="1:15" ht="12.75">
      <c r="A84" s="163"/>
      <c r="B84" s="122" t="s">
        <v>214</v>
      </c>
      <c r="C84" s="251">
        <v>64235.520000000004</v>
      </c>
      <c r="D84" s="252">
        <v>64235.520000000004</v>
      </c>
      <c r="E84" s="252">
        <v>61102.08</v>
      </c>
      <c r="F84" s="252">
        <v>59535.36</v>
      </c>
      <c r="G84" s="252">
        <v>75202.56</v>
      </c>
      <c r="H84" s="252">
        <v>86169.6</v>
      </c>
      <c r="I84" s="252">
        <v>95798.3</v>
      </c>
      <c r="J84" s="252">
        <v>95798.3</v>
      </c>
      <c r="K84" s="252">
        <v>86056.1</v>
      </c>
      <c r="L84" s="252">
        <v>79561.3</v>
      </c>
      <c r="M84" s="252">
        <v>69819.1</v>
      </c>
      <c r="N84" s="252">
        <v>73066.5</v>
      </c>
      <c r="O84" s="253">
        <v>910580.24</v>
      </c>
    </row>
    <row r="85" spans="1:15" ht="12.75">
      <c r="A85" s="164" t="s">
        <v>344</v>
      </c>
      <c r="B85" s="164" t="s">
        <v>259</v>
      </c>
      <c r="C85" s="201">
        <v>241225.58000000002</v>
      </c>
      <c r="D85" s="202">
        <v>247834.5</v>
      </c>
      <c r="E85" s="202">
        <v>188354.22</v>
      </c>
      <c r="F85" s="202">
        <v>160266.31</v>
      </c>
      <c r="G85" s="202">
        <v>188354.22</v>
      </c>
      <c r="H85" s="202">
        <v>213137.67</v>
      </c>
      <c r="I85" s="202">
        <v>234616.66</v>
      </c>
      <c r="J85" s="202">
        <v>239573.35</v>
      </c>
      <c r="K85" s="202">
        <v>214789.9</v>
      </c>
      <c r="L85" s="202">
        <v>175136.38</v>
      </c>
      <c r="M85" s="202">
        <v>142091.78</v>
      </c>
      <c r="N85" s="202">
        <v>261052.34</v>
      </c>
      <c r="O85" s="203">
        <v>2506432.9099999997</v>
      </c>
    </row>
    <row r="86" spans="1:15" ht="12.75">
      <c r="A86" s="163"/>
      <c r="B86" s="122" t="s">
        <v>152</v>
      </c>
      <c r="C86" s="251">
        <v>12484.460000000021</v>
      </c>
      <c r="D86" s="252">
        <v>12826.5</v>
      </c>
      <c r="E86" s="252">
        <v>9748.139999999985</v>
      </c>
      <c r="F86" s="252">
        <v>8294.470000000001</v>
      </c>
      <c r="G86" s="252">
        <v>9748.139999999985</v>
      </c>
      <c r="H86" s="252">
        <v>11030.790000000008</v>
      </c>
      <c r="I86" s="252">
        <v>4051.2600000000093</v>
      </c>
      <c r="J86" s="252">
        <v>4136.850000000006</v>
      </c>
      <c r="K86" s="252">
        <v>3708.899999999994</v>
      </c>
      <c r="L86" s="252">
        <v>3024.179999999993</v>
      </c>
      <c r="M86" s="252">
        <v>2453.579999999987</v>
      </c>
      <c r="N86" s="252">
        <v>4507.739999999991</v>
      </c>
      <c r="O86" s="253">
        <v>86015.00999999998</v>
      </c>
    </row>
    <row r="87" spans="1:15" ht="12.75">
      <c r="A87" s="163"/>
      <c r="B87" s="122" t="s">
        <v>153</v>
      </c>
      <c r="C87" s="251">
        <v>604.0526019979313</v>
      </c>
      <c r="D87" s="252">
        <v>586.0114313114171</v>
      </c>
      <c r="E87" s="252">
        <v>414.5150921616854</v>
      </c>
      <c r="F87" s="252">
        <v>329.1137453579436</v>
      </c>
      <c r="G87" s="252">
        <v>356.2041020793689</v>
      </c>
      <c r="H87" s="252">
        <v>369.4608191950074</v>
      </c>
      <c r="I87" s="252">
        <v>124.52666825833512</v>
      </c>
      <c r="J87" s="252">
        <v>113.31408852225434</v>
      </c>
      <c r="K87" s="252">
        <v>91.06644460103439</v>
      </c>
      <c r="L87" s="252">
        <v>65.6978783296836</v>
      </c>
      <c r="M87" s="252">
        <v>45.642020859368024</v>
      </c>
      <c r="N87" s="252">
        <v>70.2921436627621</v>
      </c>
      <c r="O87" s="253">
        <v>3169.8970363367916</v>
      </c>
    </row>
    <row r="88" spans="1:15" ht="12.75">
      <c r="A88" s="163"/>
      <c r="B88" s="122" t="s">
        <v>154</v>
      </c>
      <c r="C88" s="251">
        <v>13088.512601997953</v>
      </c>
      <c r="D88" s="252">
        <v>13412.511431311417</v>
      </c>
      <c r="E88" s="252">
        <v>10162.65509216167</v>
      </c>
      <c r="F88" s="252">
        <v>8623.583745357944</v>
      </c>
      <c r="G88" s="252">
        <v>10104.344102079354</v>
      </c>
      <c r="H88" s="252">
        <v>11400.250819195015</v>
      </c>
      <c r="I88" s="252">
        <v>4175.786668258344</v>
      </c>
      <c r="J88" s="252">
        <v>4250.1640885222605</v>
      </c>
      <c r="K88" s="252">
        <v>3799.9664446010283</v>
      </c>
      <c r="L88" s="252">
        <v>3089.8778783296766</v>
      </c>
      <c r="M88" s="252">
        <v>2499.2220208593553</v>
      </c>
      <c r="N88" s="252">
        <v>4578.032143662753</v>
      </c>
      <c r="O88" s="253">
        <v>89184.90703633676</v>
      </c>
    </row>
    <row r="89" spans="1:15" ht="12.75">
      <c r="A89" s="163"/>
      <c r="B89" s="122" t="s">
        <v>214</v>
      </c>
      <c r="C89" s="251">
        <v>228741.12</v>
      </c>
      <c r="D89" s="252">
        <v>235008</v>
      </c>
      <c r="E89" s="252">
        <v>178606.08000000002</v>
      </c>
      <c r="F89" s="252">
        <v>151971.84</v>
      </c>
      <c r="G89" s="252">
        <v>178606.08000000002</v>
      </c>
      <c r="H89" s="252">
        <v>202106.88</v>
      </c>
      <c r="I89" s="252">
        <v>230565.4</v>
      </c>
      <c r="J89" s="252">
        <v>235436.5</v>
      </c>
      <c r="K89" s="252">
        <v>211081</v>
      </c>
      <c r="L89" s="252">
        <v>172112.2</v>
      </c>
      <c r="M89" s="252">
        <v>139638.2</v>
      </c>
      <c r="N89" s="252">
        <v>256544.6</v>
      </c>
      <c r="O89" s="253">
        <v>2420417.9</v>
      </c>
    </row>
    <row r="90" spans="1:15" ht="12.75">
      <c r="A90" s="164" t="s">
        <v>260</v>
      </c>
      <c r="B90" s="119"/>
      <c r="C90" s="201">
        <v>12589992.6</v>
      </c>
      <c r="D90" s="202">
        <v>11854750.25</v>
      </c>
      <c r="E90" s="202">
        <v>10855151.100000003</v>
      </c>
      <c r="F90" s="202">
        <v>10851846.64</v>
      </c>
      <c r="G90" s="202">
        <v>12710605.39</v>
      </c>
      <c r="H90" s="202">
        <v>15907670.44</v>
      </c>
      <c r="I90" s="202">
        <v>16720567.6</v>
      </c>
      <c r="J90" s="202">
        <v>16794917.950000003</v>
      </c>
      <c r="K90" s="202">
        <v>15453307.19</v>
      </c>
      <c r="L90" s="202">
        <v>13077400.450000001</v>
      </c>
      <c r="M90" s="202">
        <v>11207076.09</v>
      </c>
      <c r="N90" s="202">
        <v>13903515.450000001</v>
      </c>
      <c r="O90" s="203">
        <v>161926801.15</v>
      </c>
    </row>
    <row r="91" spans="1:15" ht="13.5">
      <c r="A91" s="164" t="s">
        <v>155</v>
      </c>
      <c r="B91" s="119"/>
      <c r="C91" s="388">
        <v>651586.1999999995</v>
      </c>
      <c r="D91" s="389">
        <v>613534.2500000007</v>
      </c>
      <c r="E91" s="389">
        <v>561800.7000000003</v>
      </c>
      <c r="F91" s="389">
        <v>561629.6800000005</v>
      </c>
      <c r="G91" s="389">
        <v>657828.4299999997</v>
      </c>
      <c r="H91" s="389">
        <v>823290.2799999996</v>
      </c>
      <c r="I91" s="389">
        <v>288723.59999999957</v>
      </c>
      <c r="J91" s="389">
        <v>290007.44999999984</v>
      </c>
      <c r="K91" s="389">
        <v>266841.08999999845</v>
      </c>
      <c r="L91" s="389">
        <v>225814.94999999975</v>
      </c>
      <c r="M91" s="389">
        <v>193518.9899999995</v>
      </c>
      <c r="N91" s="389">
        <v>240079.95000000054</v>
      </c>
      <c r="O91" s="390">
        <v>5374655.5699999975</v>
      </c>
    </row>
    <row r="92" spans="1:15" ht="13.5">
      <c r="A92" s="164" t="s">
        <v>156</v>
      </c>
      <c r="B92" s="119"/>
      <c r="C92" s="388">
        <v>31526.581008385092</v>
      </c>
      <c r="D92" s="389">
        <v>28030.880131062815</v>
      </c>
      <c r="E92" s="389">
        <v>23889.159258791915</v>
      </c>
      <c r="F92" s="389">
        <v>22284.73277846366</v>
      </c>
      <c r="G92" s="389">
        <v>24037.527695584104</v>
      </c>
      <c r="H92" s="389">
        <v>27574.95168379478</v>
      </c>
      <c r="I92" s="389">
        <v>8874.717484326386</v>
      </c>
      <c r="J92" s="389">
        <v>7943.708343646295</v>
      </c>
      <c r="K92" s="389">
        <v>6551.88043348824</v>
      </c>
      <c r="L92" s="389">
        <v>4905.648179051381</v>
      </c>
      <c r="M92" s="389">
        <v>3599.8817149894667</v>
      </c>
      <c r="N92" s="389">
        <v>3743.7239805199088</v>
      </c>
      <c r="O92" s="390">
        <v>192963.39269210407</v>
      </c>
    </row>
    <row r="93" spans="1:15" ht="13.5">
      <c r="A93" s="164" t="s">
        <v>157</v>
      </c>
      <c r="B93" s="119"/>
      <c r="C93" s="388">
        <v>683112.7810083844</v>
      </c>
      <c r="D93" s="389">
        <v>641565.1301310633</v>
      </c>
      <c r="E93" s="389">
        <v>585689.8592587921</v>
      </c>
      <c r="F93" s="389">
        <v>583914.4127784641</v>
      </c>
      <c r="G93" s="389">
        <v>681865.9576955837</v>
      </c>
      <c r="H93" s="389">
        <v>850865.2316837946</v>
      </c>
      <c r="I93" s="389">
        <v>297598.31748432585</v>
      </c>
      <c r="J93" s="389">
        <v>297951.15834364604</v>
      </c>
      <c r="K93" s="389">
        <v>273392.9704334867</v>
      </c>
      <c r="L93" s="389">
        <v>230720.59817905107</v>
      </c>
      <c r="M93" s="389">
        <v>197118.87171498896</v>
      </c>
      <c r="N93" s="389">
        <v>243823.67398052043</v>
      </c>
      <c r="O93" s="390">
        <v>5567618.962692102</v>
      </c>
    </row>
    <row r="94" spans="1:15" ht="12.75">
      <c r="A94" s="147" t="s">
        <v>232</v>
      </c>
      <c r="B94" s="165"/>
      <c r="C94" s="271">
        <v>11938406.399999999</v>
      </c>
      <c r="D94" s="272">
        <v>11241215.999999998</v>
      </c>
      <c r="E94" s="272">
        <v>10293350.4</v>
      </c>
      <c r="F94" s="272">
        <v>10290216.960000003</v>
      </c>
      <c r="G94" s="272">
        <v>12052776.96</v>
      </c>
      <c r="H94" s="272">
        <v>15084380.16</v>
      </c>
      <c r="I94" s="272">
        <v>16431844</v>
      </c>
      <c r="J94" s="272">
        <v>16504910.5</v>
      </c>
      <c r="K94" s="272">
        <v>15186466.099999998</v>
      </c>
      <c r="L94" s="272">
        <v>12851585.5</v>
      </c>
      <c r="M94" s="272">
        <v>11013557.1</v>
      </c>
      <c r="N94" s="272">
        <v>13663435.499999998</v>
      </c>
      <c r="O94" s="273">
        <v>156552145.58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5"/>
  <sheetViews>
    <sheetView zoomScalePageLayoutView="0" workbookViewId="0" topLeftCell="A1">
      <pane ySplit="1" topLeftCell="A2" activePane="bottomLeft" state="frozen"/>
      <selection pane="topLeft" activeCell="B48" sqref="B48"/>
      <selection pane="bottomLeft" activeCell="C865" sqref="C865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8" max="8" width="9.140625" style="0" bestFit="1" customWidth="1"/>
    <col min="9" max="9" width="4.00390625" style="0" customWidth="1"/>
    <col min="10" max="10" width="14.00390625" style="3" customWidth="1"/>
    <col min="11" max="11" width="16.28125" style="0" customWidth="1"/>
    <col min="13" max="13" width="3.8515625" style="0" customWidth="1"/>
  </cols>
  <sheetData>
    <row r="1" spans="1:13" s="1" customFormat="1" ht="66">
      <c r="A1" s="42" t="s">
        <v>7</v>
      </c>
      <c r="B1" s="43" t="s">
        <v>8</v>
      </c>
      <c r="C1" s="44" t="s">
        <v>10</v>
      </c>
      <c r="E1" s="42" t="s">
        <v>9</v>
      </c>
      <c r="F1" s="244" t="s">
        <v>207</v>
      </c>
      <c r="H1" s="44" t="s">
        <v>109</v>
      </c>
      <c r="I1" s="44"/>
      <c r="J1" s="44" t="s">
        <v>110</v>
      </c>
      <c r="K1" s="115" t="s">
        <v>134</v>
      </c>
      <c r="L1" s="114" t="s">
        <v>135</v>
      </c>
      <c r="M1" s="11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 hidden="1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 hidden="1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 hidden="1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 hidden="1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 hidden="1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 hidden="1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 hidden="1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 hidden="1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 hidden="1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 hidden="1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 hidden="1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 hidden="1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 hidden="1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6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 hidden="1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6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 hidden="1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6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 hidden="1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6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 hidden="1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6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 hidden="1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6">
        <f aca="true" t="shared" si="24" ref="J715:J727">AVERAGE(C703:C714)</f>
        <v>0.07019166666666667</v>
      </c>
      <c r="K715" s="60" t="s">
        <v>124</v>
      </c>
      <c r="L715" s="3" t="str">
        <f t="shared" si="20"/>
        <v> 5.00</v>
      </c>
      <c r="M715" s="3"/>
    </row>
    <row r="716" spans="1:13" ht="15" hidden="1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6">
        <f t="shared" si="24"/>
        <v>0.06748333333333334</v>
      </c>
      <c r="K716" s="60" t="s">
        <v>125</v>
      </c>
      <c r="L716" s="3" t="str">
        <f t="shared" si="20"/>
        <v> 5.00</v>
      </c>
      <c r="M716" s="3"/>
    </row>
    <row r="717" spans="1:13" ht="15" hidden="1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6">
        <f t="shared" si="24"/>
        <v>0.06477500000000001</v>
      </c>
      <c r="K717" s="60" t="s">
        <v>126</v>
      </c>
      <c r="L717" s="3" t="str">
        <f t="shared" si="20"/>
        <v> 5.00</v>
      </c>
      <c r="M717" s="3"/>
    </row>
    <row r="718" spans="1:13" ht="15" hidden="1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6">
        <f t="shared" si="24"/>
        <v>0.06206666666666668</v>
      </c>
      <c r="K718" s="60" t="s">
        <v>127</v>
      </c>
      <c r="L718" s="3" t="str">
        <f t="shared" si="20"/>
        <v> 5.00</v>
      </c>
      <c r="M718" s="3"/>
    </row>
    <row r="719" spans="1:13" ht="15" hidden="1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6">
        <f t="shared" si="24"/>
        <v>0.05954166666666668</v>
      </c>
      <c r="K719" s="60" t="s">
        <v>128</v>
      </c>
      <c r="L719" s="3" t="str">
        <f t="shared" si="20"/>
        <v> 4.56</v>
      </c>
      <c r="M719" s="3"/>
    </row>
    <row r="720" spans="1:13" ht="15" hidden="1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6">
        <f t="shared" si="24"/>
        <v>0.056891666666666674</v>
      </c>
      <c r="K720" s="60" t="s">
        <v>129</v>
      </c>
      <c r="L720" s="3" t="str">
        <f t="shared" si="20"/>
        <v> 4.00</v>
      </c>
      <c r="M720" s="3"/>
    </row>
    <row r="721" spans="1:13" ht="15" hidden="1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6">
        <f t="shared" si="24"/>
        <v>0.053975</v>
      </c>
      <c r="K721" s="60" t="s">
        <v>130</v>
      </c>
      <c r="L721" s="3" t="str">
        <f t="shared" si="20"/>
        <v> 3.61</v>
      </c>
      <c r="M721" s="3"/>
    </row>
    <row r="722" spans="1:13" ht="15" hidden="1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6">
        <f t="shared" si="24"/>
        <v>0.050875000000000004</v>
      </c>
      <c r="K722" s="60" t="s">
        <v>131</v>
      </c>
      <c r="L722" s="3" t="str">
        <f t="shared" si="20"/>
        <v> 3.25</v>
      </c>
      <c r="M722" s="3"/>
    </row>
    <row r="723" spans="1:13" ht="15" hidden="1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6">
        <f t="shared" si="24"/>
        <v>0.04776666666666666</v>
      </c>
      <c r="K723" s="60" t="s">
        <v>132</v>
      </c>
      <c r="L723" s="3" t="str">
        <f t="shared" si="20"/>
        <v> 3.25</v>
      </c>
      <c r="M723" s="3"/>
    </row>
    <row r="724" spans="1:13" ht="15" hidden="1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6">
        <f t="shared" si="24"/>
        <v>0.045474999999999995</v>
      </c>
      <c r="K724" s="60" t="s">
        <v>133</v>
      </c>
      <c r="L724" s="3" t="str">
        <f t="shared" si="20"/>
        <v> 3.25</v>
      </c>
      <c r="M724" s="3"/>
    </row>
    <row r="725" spans="1:16" ht="15" hidden="1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6">
        <f t="shared" si="24"/>
        <v>0.04346666666666666</v>
      </c>
      <c r="K725" s="60" t="s">
        <v>149</v>
      </c>
      <c r="L725" s="3" t="str">
        <f t="shared" si="20"/>
        <v> 3.25</v>
      </c>
      <c r="P725" s="60"/>
    </row>
    <row r="726" spans="1:16" ht="15" hidden="1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6">
        <f t="shared" si="24"/>
        <v>0.04180833333333333</v>
      </c>
      <c r="K726" s="60" t="s">
        <v>150</v>
      </c>
      <c r="L726" s="3" t="str">
        <f t="shared" si="20"/>
        <v> 3.25</v>
      </c>
      <c r="P726" s="60"/>
    </row>
    <row r="727" spans="1:12" ht="15" hidden="1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6">
        <f t="shared" si="24"/>
        <v>0.04035</v>
      </c>
      <c r="K727" s="60" t="s">
        <v>187</v>
      </c>
      <c r="L727" s="3" t="str">
        <f>IF(K727=0,L726,RIGHT(K727,5))</f>
        <v> 3.25</v>
      </c>
    </row>
    <row r="728" spans="1:12" ht="15" hidden="1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6">
        <f>AVERAGE(C716:C727)</f>
        <v>0.03889166666666666</v>
      </c>
      <c r="K728" s="60" t="s">
        <v>188</v>
      </c>
      <c r="L728" s="3" t="str">
        <f aca="true" t="shared" si="25" ref="L728:L762">IF(K728=0,L727,RIGHT(K728,5))</f>
        <v> 3.25</v>
      </c>
    </row>
    <row r="729" spans="1:12" ht="15" hidden="1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6">
        <f aca="true" t="shared" si="26" ref="J729:J762">AVERAGE(C717:C728)</f>
        <v>0.03743333333333332</v>
      </c>
      <c r="K729" s="60" t="s">
        <v>195</v>
      </c>
      <c r="L729" s="3" t="str">
        <f t="shared" si="25"/>
        <v> 3.25</v>
      </c>
    </row>
    <row r="730" spans="1:12" ht="15" hidden="1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6">
        <f t="shared" si="26"/>
        <v>0.035974999999999986</v>
      </c>
      <c r="K730" s="60" t="s">
        <v>199</v>
      </c>
      <c r="L730" s="3" t="str">
        <f t="shared" si="25"/>
        <v> 3.25</v>
      </c>
    </row>
    <row r="731" spans="1:12" ht="15" hidden="1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6">
        <f t="shared" si="26"/>
        <v>0.03451666666666666</v>
      </c>
      <c r="K731" s="60" t="s">
        <v>200</v>
      </c>
      <c r="L731" s="3" t="str">
        <f t="shared" si="25"/>
        <v> 3.25</v>
      </c>
    </row>
    <row r="732" spans="1:12" ht="15" hidden="1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6">
        <f t="shared" si="26"/>
        <v>0.03342499999999999</v>
      </c>
      <c r="K732" s="60" t="s">
        <v>201</v>
      </c>
      <c r="L732" s="3" t="str">
        <f t="shared" si="25"/>
        <v> 3.25</v>
      </c>
    </row>
    <row r="733" spans="1:12" ht="15" hidden="1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6">
        <f t="shared" si="26"/>
        <v>0.032799999999999996</v>
      </c>
      <c r="K733" s="60" t="s">
        <v>202</v>
      </c>
      <c r="L733" s="3" t="str">
        <f t="shared" si="25"/>
        <v> 3.25</v>
      </c>
    </row>
    <row r="734" spans="1:12" ht="15" hidden="1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6">
        <f t="shared" si="26"/>
        <v>0.032499999999999994</v>
      </c>
      <c r="K734" s="60" t="s">
        <v>203</v>
      </c>
      <c r="L734" s="3" t="str">
        <f t="shared" si="25"/>
        <v> 3.25</v>
      </c>
    </row>
    <row r="735" spans="1:12" ht="15" hidden="1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6">
        <f t="shared" si="26"/>
        <v>0.032499999999999994</v>
      </c>
      <c r="K735" s="60" t="s">
        <v>204</v>
      </c>
      <c r="L735" s="3" t="str">
        <f t="shared" si="25"/>
        <v> 3.25</v>
      </c>
    </row>
    <row r="736" spans="1:12" ht="15" hidden="1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6">
        <f t="shared" si="26"/>
        <v>0.032499999999999994</v>
      </c>
      <c r="K736" s="60" t="s">
        <v>205</v>
      </c>
      <c r="L736" s="3" t="str">
        <f t="shared" si="25"/>
        <v> 3.25</v>
      </c>
    </row>
    <row r="737" spans="1:12" ht="15" hidden="1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6">
        <f t="shared" si="26"/>
        <v>0.032499999999999994</v>
      </c>
      <c r="K737" s="60" t="s">
        <v>206</v>
      </c>
      <c r="L737" s="3" t="str">
        <f t="shared" si="25"/>
        <v> 3.25</v>
      </c>
    </row>
    <row r="738" spans="1:12" ht="15" hidden="1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6">
        <f t="shared" si="26"/>
        <v>0.032499999999999994</v>
      </c>
      <c r="K738" s="274" t="s">
        <v>233</v>
      </c>
      <c r="L738" s="3" t="str">
        <f t="shared" si="25"/>
        <v> 3.25</v>
      </c>
    </row>
    <row r="739" spans="1:12" ht="15" hidden="1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6">
        <f t="shared" si="26"/>
        <v>0.032499999999999994</v>
      </c>
      <c r="K739" s="274" t="s">
        <v>234</v>
      </c>
      <c r="L739" s="3" t="str">
        <f t="shared" si="25"/>
        <v> 3.25</v>
      </c>
    </row>
    <row r="740" spans="1:12" ht="15" hidden="1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6">
        <f t="shared" si="26"/>
        <v>0.032499999999999994</v>
      </c>
      <c r="K740" s="274" t="s">
        <v>235</v>
      </c>
      <c r="L740" s="3" t="str">
        <f t="shared" si="25"/>
        <v> 3.25</v>
      </c>
    </row>
    <row r="741" spans="1:12" ht="15" hidden="1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6">
        <f t="shared" si="26"/>
        <v>0.032499999999999994</v>
      </c>
      <c r="K741" s="274" t="s">
        <v>236</v>
      </c>
      <c r="L741" s="3" t="str">
        <f t="shared" si="25"/>
        <v> 3.25</v>
      </c>
    </row>
    <row r="742" spans="1:12" ht="15" hidden="1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6">
        <f t="shared" si="26"/>
        <v>0.032499999999999994</v>
      </c>
      <c r="K742" s="274" t="s">
        <v>237</v>
      </c>
      <c r="L742" s="3" t="str">
        <f t="shared" si="25"/>
        <v> 3.25</v>
      </c>
    </row>
    <row r="743" spans="1:12" ht="15" hidden="1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6">
        <f t="shared" si="26"/>
        <v>0.032499999999999994</v>
      </c>
      <c r="K743" s="274" t="s">
        <v>277</v>
      </c>
      <c r="L743" s="3" t="str">
        <f t="shared" si="25"/>
        <v> 3.25</v>
      </c>
    </row>
    <row r="744" spans="1:12" ht="15" hidden="1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16">
        <f t="shared" si="26"/>
        <v>0.032499999999999994</v>
      </c>
      <c r="K744" s="274" t="s">
        <v>278</v>
      </c>
      <c r="L744" s="3" t="str">
        <f t="shared" si="25"/>
        <v> 3.25</v>
      </c>
    </row>
    <row r="745" spans="1:12" ht="15" hidden="1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16">
        <f t="shared" si="26"/>
        <v>0.032499999999999994</v>
      </c>
      <c r="K745" s="274" t="s">
        <v>279</v>
      </c>
      <c r="L745" s="3" t="str">
        <f t="shared" si="25"/>
        <v> 3.25</v>
      </c>
    </row>
    <row r="746" spans="1:12" ht="15" hidden="1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16">
        <f t="shared" si="26"/>
        <v>0.032499999999999994</v>
      </c>
      <c r="K746" s="274" t="s">
        <v>280</v>
      </c>
      <c r="L746" s="3" t="str">
        <f t="shared" si="25"/>
        <v> 3.25</v>
      </c>
    </row>
    <row r="747" spans="1:12" ht="15" hidden="1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16">
        <f t="shared" si="26"/>
        <v>0.032499999999999994</v>
      </c>
      <c r="K747" s="274" t="s">
        <v>281</v>
      </c>
      <c r="L747" s="3" t="str">
        <f t="shared" si="25"/>
        <v> 3.25</v>
      </c>
    </row>
    <row r="748" spans="1:12" ht="15" hidden="1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16">
        <f t="shared" si="26"/>
        <v>0.032499999999999994</v>
      </c>
      <c r="K748" s="274" t="s">
        <v>282</v>
      </c>
      <c r="L748" s="3" t="str">
        <f t="shared" si="25"/>
        <v> 3.25</v>
      </c>
    </row>
    <row r="749" spans="1:12" ht="15" hidden="1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16">
        <f t="shared" si="26"/>
        <v>0.032499999999999994</v>
      </c>
      <c r="K749" s="274" t="s">
        <v>283</v>
      </c>
      <c r="L749" s="3" t="str">
        <f t="shared" si="25"/>
        <v> 3.25</v>
      </c>
    </row>
    <row r="750" spans="1:12" ht="15" hidden="1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16">
        <f t="shared" si="26"/>
        <v>0.032499999999999994</v>
      </c>
      <c r="K750" s="274" t="s">
        <v>284</v>
      </c>
      <c r="L750" s="3" t="str">
        <f t="shared" si="25"/>
        <v> 3.25</v>
      </c>
    </row>
    <row r="751" spans="1:12" ht="15" hidden="1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16">
        <f t="shared" si="26"/>
        <v>0.032499999999999994</v>
      </c>
      <c r="K751" s="274" t="s">
        <v>285</v>
      </c>
      <c r="L751" s="3" t="str">
        <f t="shared" si="25"/>
        <v> 3.25</v>
      </c>
    </row>
    <row r="752" spans="1:12" ht="15" hidden="1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16">
        <f t="shared" si="26"/>
        <v>0.032499999999999994</v>
      </c>
      <c r="K752" s="274" t="s">
        <v>286</v>
      </c>
      <c r="L752" s="3" t="str">
        <f t="shared" si="25"/>
        <v> 3.25</v>
      </c>
    </row>
    <row r="753" spans="1:12" ht="15" hidden="1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16">
        <f t="shared" si="26"/>
        <v>0.032499999999999994</v>
      </c>
      <c r="K753" s="274" t="s">
        <v>287</v>
      </c>
      <c r="L753" s="3" t="str">
        <f t="shared" si="25"/>
        <v> 3.25</v>
      </c>
    </row>
    <row r="754" spans="1:12" ht="15" hidden="1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16">
        <f t="shared" si="26"/>
        <v>0.032499999999999994</v>
      </c>
      <c r="K754" s="274" t="s">
        <v>288</v>
      </c>
      <c r="L754" s="3" t="str">
        <f t="shared" si="25"/>
        <v> 3.25</v>
      </c>
    </row>
    <row r="755" spans="1:12" ht="15" hidden="1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16">
        <f t="shared" si="26"/>
        <v>0.032499999999999994</v>
      </c>
      <c r="K755" s="274" t="s">
        <v>289</v>
      </c>
      <c r="L755" s="3" t="str">
        <f t="shared" si="25"/>
        <v> 3.25</v>
      </c>
    </row>
    <row r="756" spans="1:12" ht="15" hidden="1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16">
        <f t="shared" si="26"/>
        <v>0.032499999999999994</v>
      </c>
      <c r="K756" s="274" t="s">
        <v>290</v>
      </c>
      <c r="L756" s="3" t="str">
        <f t="shared" si="25"/>
        <v> 3.25</v>
      </c>
    </row>
    <row r="757" spans="1:12" ht="15" hidden="1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16">
        <f t="shared" si="26"/>
        <v>0.032499999999999994</v>
      </c>
      <c r="K757" s="274" t="s">
        <v>291</v>
      </c>
      <c r="L757" s="3" t="str">
        <f t="shared" si="25"/>
        <v> 3.25</v>
      </c>
    </row>
    <row r="758" spans="1:12" ht="15" hidden="1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16">
        <f t="shared" si="26"/>
        <v>0.032499999999999994</v>
      </c>
      <c r="K758" s="274" t="s">
        <v>292</v>
      </c>
      <c r="L758" s="3" t="str">
        <f t="shared" si="25"/>
        <v> 3.25</v>
      </c>
    </row>
    <row r="759" spans="1:12" ht="15" hidden="1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16">
        <f t="shared" si="26"/>
        <v>0.032499999999999994</v>
      </c>
      <c r="K759" s="274" t="s">
        <v>293</v>
      </c>
      <c r="L759" s="3" t="str">
        <f t="shared" si="25"/>
        <v> 3.25</v>
      </c>
    </row>
    <row r="760" spans="1:14" ht="15" hidden="1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16">
        <f t="shared" si="26"/>
        <v>0.032499999999999994</v>
      </c>
      <c r="K760" s="274" t="s">
        <v>294</v>
      </c>
      <c r="L760" s="3" t="str">
        <f t="shared" si="25"/>
        <v> 3.25</v>
      </c>
      <c r="N760" s="5" t="s">
        <v>123</v>
      </c>
    </row>
    <row r="761" spans="1:14" ht="15" hidden="1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16">
        <f t="shared" si="26"/>
        <v>0.032499999999999994</v>
      </c>
      <c r="K761" s="274" t="s">
        <v>295</v>
      </c>
      <c r="L761" s="3" t="str">
        <f t="shared" si="25"/>
        <v> 3.25</v>
      </c>
      <c r="N761" t="s">
        <v>106</v>
      </c>
    </row>
    <row r="762" spans="1:12" ht="15" hidden="1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16">
        <f t="shared" si="26"/>
        <v>0.032499999999999994</v>
      </c>
      <c r="K762" s="274" t="s">
        <v>296</v>
      </c>
      <c r="L762" s="3" t="str">
        <f t="shared" si="25"/>
        <v> 3.25</v>
      </c>
    </row>
    <row r="763" spans="1:14" ht="15" hidden="1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16">
        <f aca="true" t="shared" si="28" ref="J763:J826">AVERAGE(C751:C762)</f>
        <v>0.032499999999999994</v>
      </c>
      <c r="K763" s="274" t="s">
        <v>297</v>
      </c>
      <c r="L763" s="3" t="str">
        <f aca="true" t="shared" si="29" ref="L763:L807">IF(K763=0,L762,RIGHT(K763,5))</f>
        <v> 3.25</v>
      </c>
      <c r="N763" s="5" t="s">
        <v>240</v>
      </c>
    </row>
    <row r="764" spans="1:14" ht="15" hidden="1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16">
        <f t="shared" si="28"/>
        <v>0.032499999999999994</v>
      </c>
      <c r="K764" s="274" t="s">
        <v>298</v>
      </c>
      <c r="L764" s="3" t="str">
        <f t="shared" si="29"/>
        <v> 3.25</v>
      </c>
      <c r="N764" s="25" t="s">
        <v>101</v>
      </c>
    </row>
    <row r="765" spans="1:12" ht="15" hidden="1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16">
        <f t="shared" si="28"/>
        <v>0.032499999999999994</v>
      </c>
      <c r="K765" s="274" t="s">
        <v>299</v>
      </c>
      <c r="L765" s="3" t="str">
        <f t="shared" si="29"/>
        <v> 3.25</v>
      </c>
    </row>
    <row r="766" spans="1:14" ht="15" hidden="1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16">
        <f t="shared" si="28"/>
        <v>0.032499999999999994</v>
      </c>
      <c r="K766" s="274" t="s">
        <v>300</v>
      </c>
      <c r="L766" s="3" t="str">
        <f t="shared" si="29"/>
        <v> 3.25</v>
      </c>
      <c r="N766" s="1" t="s">
        <v>102</v>
      </c>
    </row>
    <row r="767" spans="1:14" ht="15" hidden="1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16">
        <f t="shared" si="28"/>
        <v>0.032499999999999994</v>
      </c>
      <c r="K767" s="274" t="s">
        <v>301</v>
      </c>
      <c r="L767" s="3" t="str">
        <f t="shared" si="29"/>
        <v> 3.25</v>
      </c>
      <c r="N767" t="s">
        <v>105</v>
      </c>
    </row>
    <row r="768" spans="1:12" ht="15" hidden="1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16">
        <f t="shared" si="28"/>
        <v>0.032499999999999994</v>
      </c>
      <c r="K768" s="274" t="s">
        <v>301</v>
      </c>
      <c r="L768" s="3" t="str">
        <f t="shared" si="29"/>
        <v> 3.25</v>
      </c>
    </row>
    <row r="769" spans="1:18" ht="15" hidden="1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16">
        <f t="shared" si="28"/>
        <v>0.032499999999999994</v>
      </c>
      <c r="K769" s="274" t="s">
        <v>302</v>
      </c>
      <c r="L769" s="3" t="str">
        <f t="shared" si="29"/>
        <v> 3.25</v>
      </c>
      <c r="N769" s="372" t="s">
        <v>112</v>
      </c>
      <c r="O769" s="372"/>
      <c r="P769" s="372"/>
      <c r="Q769" s="372"/>
      <c r="R769" s="372"/>
    </row>
    <row r="770" spans="1:12" ht="15" hidden="1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16">
        <f t="shared" si="28"/>
        <v>0.032499999999999994</v>
      </c>
      <c r="K770" s="274" t="s">
        <v>303</v>
      </c>
      <c r="L770" s="3" t="str">
        <f t="shared" si="29"/>
        <v> 3.25</v>
      </c>
    </row>
    <row r="771" spans="1:12" ht="15" hidden="1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16">
        <f t="shared" si="28"/>
        <v>0.032499999999999994</v>
      </c>
      <c r="K771" s="274" t="s">
        <v>304</v>
      </c>
      <c r="L771" s="3" t="str">
        <f t="shared" si="29"/>
        <v> 3.25</v>
      </c>
    </row>
    <row r="772" spans="1:12" ht="15" hidden="1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16">
        <f t="shared" si="28"/>
        <v>0.032499999999999994</v>
      </c>
      <c r="K772" s="274" t="s">
        <v>305</v>
      </c>
      <c r="L772" s="3" t="str">
        <f t="shared" si="29"/>
        <v> 3.25</v>
      </c>
    </row>
    <row r="773" spans="1:14" ht="15" hidden="1">
      <c r="A773" s="39">
        <f aca="true" t="shared" si="30" ref="A773:A836">+B773</f>
        <v>41384</v>
      </c>
      <c r="B773" s="40">
        <v>41384</v>
      </c>
      <c r="C773" s="331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16">
        <f t="shared" si="28"/>
        <v>0.032499999999999994</v>
      </c>
      <c r="K773" s="274" t="s">
        <v>306</v>
      </c>
      <c r="L773" s="3" t="str">
        <f t="shared" si="29"/>
        <v> 3.25</v>
      </c>
      <c r="N773" s="275" t="s">
        <v>238</v>
      </c>
    </row>
    <row r="774" spans="1:14" ht="15" hidden="1">
      <c r="A774" s="45">
        <f t="shared" si="30"/>
        <v>41414</v>
      </c>
      <c r="B774" s="46">
        <v>41414</v>
      </c>
      <c r="C774" s="331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16">
        <f t="shared" si="28"/>
        <v>0.032499999999999994</v>
      </c>
      <c r="K774" s="274" t="s">
        <v>307</v>
      </c>
      <c r="L774" s="3" t="str">
        <f t="shared" si="29"/>
        <v> 3.25</v>
      </c>
      <c r="N774" t="s">
        <v>239</v>
      </c>
    </row>
    <row r="775" spans="1:12" ht="15" hidden="1">
      <c r="A775" s="39">
        <f t="shared" si="30"/>
        <v>41445</v>
      </c>
      <c r="B775" s="40">
        <v>41445</v>
      </c>
      <c r="C775" s="331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16">
        <f t="shared" si="28"/>
        <v>0.032499999999999994</v>
      </c>
      <c r="K775" s="274" t="s">
        <v>308</v>
      </c>
      <c r="L775" s="3" t="str">
        <f t="shared" si="29"/>
        <v> 3.25</v>
      </c>
    </row>
    <row r="776" spans="1:14" ht="15" hidden="1">
      <c r="A776" s="39">
        <f t="shared" si="30"/>
        <v>41475</v>
      </c>
      <c r="B776" s="40">
        <v>41475</v>
      </c>
      <c r="C776" s="331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16">
        <f t="shared" si="28"/>
        <v>0.032499999999999994</v>
      </c>
      <c r="K776" s="274" t="s">
        <v>309</v>
      </c>
      <c r="L776" s="3" t="str">
        <f t="shared" si="29"/>
        <v> 3.25</v>
      </c>
      <c r="N776" s="25"/>
    </row>
    <row r="777" spans="1:14" ht="15" hidden="1">
      <c r="A777" s="45">
        <f t="shared" si="30"/>
        <v>41506</v>
      </c>
      <c r="B777" s="46">
        <v>41506</v>
      </c>
      <c r="C777" s="331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16">
        <f t="shared" si="28"/>
        <v>0.032499999999999994</v>
      </c>
      <c r="K777" s="274" t="s">
        <v>310</v>
      </c>
      <c r="L777" s="3" t="str">
        <f t="shared" si="29"/>
        <v> 3.25</v>
      </c>
      <c r="N777" s="25"/>
    </row>
    <row r="778" spans="1:12" ht="15" hidden="1">
      <c r="A778" s="39">
        <f t="shared" si="30"/>
        <v>41537</v>
      </c>
      <c r="B778" s="40">
        <v>41537</v>
      </c>
      <c r="C778" s="331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16">
        <f t="shared" si="28"/>
        <v>0.032499999999999994</v>
      </c>
      <c r="K778" s="274" t="s">
        <v>311</v>
      </c>
      <c r="L778" s="3" t="str">
        <f t="shared" si="29"/>
        <v> 3.25</v>
      </c>
    </row>
    <row r="779" spans="1:12" ht="15" hidden="1">
      <c r="A779" s="39">
        <f t="shared" si="30"/>
        <v>41567</v>
      </c>
      <c r="B779" s="40">
        <v>41567</v>
      </c>
      <c r="C779" s="331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16">
        <f t="shared" si="28"/>
        <v>0.032499999999999994</v>
      </c>
      <c r="K779" s="274" t="s">
        <v>312</v>
      </c>
      <c r="L779" s="3" t="str">
        <f t="shared" si="29"/>
        <v> 3.25</v>
      </c>
    </row>
    <row r="780" spans="1:12" ht="15" hidden="1">
      <c r="A780" s="45">
        <f t="shared" si="30"/>
        <v>41598</v>
      </c>
      <c r="B780" s="46">
        <v>41598</v>
      </c>
      <c r="C780" s="331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16">
        <f t="shared" si="28"/>
        <v>0.032499999999999994</v>
      </c>
      <c r="K780" s="274" t="s">
        <v>313</v>
      </c>
      <c r="L780" s="3" t="str">
        <f t="shared" si="29"/>
        <v> 3.25</v>
      </c>
    </row>
    <row r="781" spans="1:12" ht="15" hidden="1">
      <c r="A781" s="39">
        <f t="shared" si="30"/>
        <v>41628</v>
      </c>
      <c r="B781" s="40">
        <v>41628</v>
      </c>
      <c r="C781" s="331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16">
        <f t="shared" si="28"/>
        <v>0.032499999999999994</v>
      </c>
      <c r="K781" s="274" t="s">
        <v>314</v>
      </c>
      <c r="L781" s="3" t="str">
        <f t="shared" si="29"/>
        <v> 3.25</v>
      </c>
    </row>
    <row r="782" spans="1:12" ht="15" hidden="1">
      <c r="A782" s="39">
        <f t="shared" si="30"/>
        <v>41659</v>
      </c>
      <c r="B782" s="40">
        <v>41659</v>
      </c>
      <c r="C782" s="331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16">
        <f t="shared" si="28"/>
        <v>0.032499999999999994</v>
      </c>
      <c r="K782" s="274" t="s">
        <v>315</v>
      </c>
      <c r="L782" s="3" t="str">
        <f t="shared" si="29"/>
        <v> 3.25</v>
      </c>
    </row>
    <row r="783" spans="1:12" ht="15" hidden="1">
      <c r="A783" s="45">
        <f t="shared" si="30"/>
        <v>41690</v>
      </c>
      <c r="B783" s="46">
        <v>41690</v>
      </c>
      <c r="C783" s="331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16">
        <f t="shared" si="28"/>
        <v>0.032499999999999994</v>
      </c>
      <c r="K783" s="274" t="s">
        <v>316</v>
      </c>
      <c r="L783" s="3" t="str">
        <f t="shared" si="29"/>
        <v> 3.25</v>
      </c>
    </row>
    <row r="784" spans="1:12" ht="15" hidden="1">
      <c r="A784" s="39">
        <f t="shared" si="30"/>
        <v>41718</v>
      </c>
      <c r="B784" s="40">
        <v>41718</v>
      </c>
      <c r="C784" s="331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16">
        <f t="shared" si="28"/>
        <v>0.032499999999999994</v>
      </c>
      <c r="K784" s="274" t="s">
        <v>317</v>
      </c>
      <c r="L784" s="3" t="str">
        <f t="shared" si="29"/>
        <v> 3.25</v>
      </c>
    </row>
    <row r="785" spans="1:12" ht="15" hidden="1">
      <c r="A785" s="39">
        <f t="shared" si="30"/>
        <v>41749</v>
      </c>
      <c r="B785" s="40">
        <v>41749</v>
      </c>
      <c r="C785" s="331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16">
        <f t="shared" si="28"/>
        <v>0.032499999999999994</v>
      </c>
      <c r="K785" s="274" t="s">
        <v>318</v>
      </c>
      <c r="L785" s="3" t="str">
        <f t="shared" si="29"/>
        <v> 3.25</v>
      </c>
    </row>
    <row r="786" spans="1:12" ht="15" hidden="1">
      <c r="A786" s="45">
        <f t="shared" si="30"/>
        <v>41779</v>
      </c>
      <c r="B786" s="46">
        <v>41779</v>
      </c>
      <c r="C786" s="331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16">
        <f t="shared" si="28"/>
        <v>0.032499999999999994</v>
      </c>
      <c r="K786" s="274" t="s">
        <v>319</v>
      </c>
      <c r="L786" s="3" t="str">
        <f t="shared" si="29"/>
        <v> 3.25</v>
      </c>
    </row>
    <row r="787" spans="1:12" ht="15" hidden="1">
      <c r="A787" s="39">
        <f t="shared" si="30"/>
        <v>41810</v>
      </c>
      <c r="B787" s="40">
        <v>41810</v>
      </c>
      <c r="C787" s="331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16">
        <f t="shared" si="28"/>
        <v>0.032499999999999994</v>
      </c>
      <c r="K787" s="274" t="s">
        <v>320</v>
      </c>
      <c r="L787" s="3" t="str">
        <f t="shared" si="29"/>
        <v> 3.25</v>
      </c>
    </row>
    <row r="788" spans="1:12" ht="15" hidden="1">
      <c r="A788" s="39">
        <f t="shared" si="30"/>
        <v>41840</v>
      </c>
      <c r="B788" s="40">
        <v>41840</v>
      </c>
      <c r="C788" s="371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16">
        <f t="shared" si="28"/>
        <v>0.032499999999999994</v>
      </c>
      <c r="K788" s="274" t="s">
        <v>322</v>
      </c>
      <c r="L788" s="3" t="str">
        <f t="shared" si="29"/>
        <v> 3.25</v>
      </c>
    </row>
    <row r="789" spans="1:12" ht="15" hidden="1">
      <c r="A789" s="45">
        <f t="shared" si="30"/>
        <v>41871</v>
      </c>
      <c r="B789" s="46">
        <v>41871</v>
      </c>
      <c r="C789" s="371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16">
        <f t="shared" si="28"/>
        <v>0.032499999999999994</v>
      </c>
      <c r="K789" s="274" t="s">
        <v>323</v>
      </c>
      <c r="L789" s="3" t="str">
        <f t="shared" si="29"/>
        <v> 3.25</v>
      </c>
    </row>
    <row r="790" spans="1:12" ht="15" hidden="1">
      <c r="A790" s="39">
        <f t="shared" si="30"/>
        <v>41902</v>
      </c>
      <c r="B790" s="40">
        <v>41902</v>
      </c>
      <c r="C790" s="371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16">
        <f t="shared" si="28"/>
        <v>0.032499999999999994</v>
      </c>
      <c r="K790" s="274" t="s">
        <v>324</v>
      </c>
      <c r="L790" s="3" t="str">
        <f t="shared" si="29"/>
        <v> 3.25</v>
      </c>
    </row>
    <row r="791" spans="1:12" ht="15" hidden="1">
      <c r="A791" s="39">
        <f t="shared" si="30"/>
        <v>41932</v>
      </c>
      <c r="B791" s="40">
        <v>41932</v>
      </c>
      <c r="C791" s="371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16">
        <f t="shared" si="28"/>
        <v>0.032499999999999994</v>
      </c>
      <c r="K791" s="274" t="s">
        <v>325</v>
      </c>
      <c r="L791" s="3" t="str">
        <f t="shared" si="29"/>
        <v> 3.25</v>
      </c>
    </row>
    <row r="792" spans="1:12" ht="15" hidden="1">
      <c r="A792" s="45">
        <f t="shared" si="30"/>
        <v>41963</v>
      </c>
      <c r="B792" s="46">
        <v>41963</v>
      </c>
      <c r="C792" s="371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16">
        <f t="shared" si="28"/>
        <v>0.032499999999999994</v>
      </c>
      <c r="K792" s="274" t="s">
        <v>326</v>
      </c>
      <c r="L792" s="3" t="str">
        <f t="shared" si="29"/>
        <v> 3.25</v>
      </c>
    </row>
    <row r="793" spans="1:12" ht="15" hidden="1">
      <c r="A793" s="39">
        <f t="shared" si="30"/>
        <v>41993</v>
      </c>
      <c r="B793" s="40">
        <v>41993</v>
      </c>
      <c r="C793" s="371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16">
        <f t="shared" si="28"/>
        <v>0.032499999999999994</v>
      </c>
      <c r="K793" s="274" t="s">
        <v>327</v>
      </c>
      <c r="L793" s="3" t="str">
        <f t="shared" si="29"/>
        <v> 3.25</v>
      </c>
    </row>
    <row r="794" spans="1:12" ht="15" hidden="1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16">
        <f t="shared" si="28"/>
        <v>0.032499999999999994</v>
      </c>
      <c r="K794" s="274" t="s">
        <v>332</v>
      </c>
      <c r="L794" s="3" t="str">
        <f t="shared" si="29"/>
        <v> 3.25</v>
      </c>
    </row>
    <row r="795" spans="1:12" ht="15" hidden="1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16">
        <f t="shared" si="28"/>
        <v>0.032499999999999994</v>
      </c>
      <c r="K795" s="274" t="s">
        <v>333</v>
      </c>
      <c r="L795" s="3" t="str">
        <f t="shared" si="29"/>
        <v> 3.25</v>
      </c>
    </row>
    <row r="796" spans="1:12" ht="15" hidden="1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16">
        <f t="shared" si="28"/>
        <v>0.032499999999999994</v>
      </c>
      <c r="K796" s="274" t="s">
        <v>334</v>
      </c>
      <c r="L796" s="3" t="str">
        <f t="shared" si="29"/>
        <v> 3.25</v>
      </c>
    </row>
    <row r="797" spans="1:12" ht="15" hidden="1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16">
        <f t="shared" si="28"/>
        <v>0.032499999999999994</v>
      </c>
      <c r="K797" s="274" t="s">
        <v>335</v>
      </c>
      <c r="L797" s="3" t="str">
        <f t="shared" si="29"/>
        <v> 3.25</v>
      </c>
    </row>
    <row r="798" spans="1:12" ht="15" hidden="1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16">
        <f t="shared" si="28"/>
        <v>0.032499999999999994</v>
      </c>
      <c r="K798" s="274" t="s">
        <v>336</v>
      </c>
      <c r="L798" s="3" t="str">
        <f t="shared" si="29"/>
        <v> 3.25</v>
      </c>
    </row>
    <row r="799" spans="1:12" ht="15" hidden="1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16">
        <f t="shared" si="28"/>
        <v>0.032499999999999994</v>
      </c>
      <c r="K799" s="274" t="s">
        <v>337</v>
      </c>
      <c r="L799" s="3" t="str">
        <f t="shared" si="29"/>
        <v> 3.25</v>
      </c>
    </row>
    <row r="800" spans="1:12" ht="15" hidden="1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16">
        <f t="shared" si="28"/>
        <v>0.032499999999999994</v>
      </c>
      <c r="K800" s="274" t="s">
        <v>338</v>
      </c>
      <c r="L800" s="3" t="str">
        <f t="shared" si="29"/>
        <v> 3.25</v>
      </c>
    </row>
    <row r="801" spans="1:12" ht="15" hidden="1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16">
        <f t="shared" si="28"/>
        <v>0.032499999999999994</v>
      </c>
      <c r="K801" s="274" t="s">
        <v>339</v>
      </c>
      <c r="L801" s="3" t="str">
        <f t="shared" si="29"/>
        <v> 3.25</v>
      </c>
    </row>
    <row r="802" spans="1:12" ht="15" hidden="1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16">
        <f t="shared" si="28"/>
        <v>0.032499999999999994</v>
      </c>
      <c r="K802" s="274" t="s">
        <v>340</v>
      </c>
      <c r="L802" s="3" t="str">
        <f t="shared" si="29"/>
        <v> 3.25</v>
      </c>
    </row>
    <row r="803" spans="1:12" ht="15" hidden="1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16">
        <f t="shared" si="28"/>
        <v>0.032499999999999994</v>
      </c>
      <c r="K803" s="274" t="s">
        <v>341</v>
      </c>
      <c r="L803" s="3" t="str">
        <f t="shared" si="29"/>
        <v> 3.25</v>
      </c>
    </row>
    <row r="804" spans="1:12" ht="15" hidden="1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16">
        <f t="shared" si="28"/>
        <v>0.032499999999999994</v>
      </c>
      <c r="K804" s="274" t="s">
        <v>342</v>
      </c>
      <c r="L804" s="3" t="str">
        <f t="shared" si="29"/>
        <v> 3.25</v>
      </c>
    </row>
    <row r="805" spans="1:12" ht="15" hidden="1">
      <c r="A805" s="39">
        <f t="shared" si="30"/>
        <v>42358</v>
      </c>
      <c r="B805" s="40">
        <v>42358</v>
      </c>
      <c r="C805" s="65">
        <f t="shared" si="32"/>
        <v>0.0337</v>
      </c>
      <c r="E805" s="3" t="str">
        <f t="shared" si="31"/>
        <v>4Q2015</v>
      </c>
      <c r="F805" s="49">
        <f>+F804</f>
        <v>0.0325</v>
      </c>
      <c r="H805" s="6">
        <v>42339</v>
      </c>
      <c r="I805" s="6"/>
      <c r="J805" s="116">
        <f t="shared" si="28"/>
        <v>0.032499999999999994</v>
      </c>
      <c r="K805" s="60" t="s">
        <v>343</v>
      </c>
      <c r="L805" s="3" t="str">
        <f t="shared" si="29"/>
        <v> 3.37</v>
      </c>
    </row>
    <row r="806" spans="1:12" ht="15">
      <c r="A806" s="39">
        <f t="shared" si="30"/>
        <v>42389</v>
      </c>
      <c r="B806" s="40">
        <v>42389</v>
      </c>
      <c r="C806" s="65">
        <f>+L806%</f>
        <v>0.035</v>
      </c>
      <c r="E806" s="3" t="str">
        <f>IF(MONTH(B806)&lt;4,"1",IF(MONTH(B806)&lt;7,"2",IF(MONTH(B806)&lt;10,"3","4")))&amp;"Q"&amp;YEAR(B806)</f>
        <v>1Q2016</v>
      </c>
      <c r="F806" s="49">
        <f>IF(COUNTIF(C802:C804,"&gt;0")&lt;3,"N/A",AVERAGE(C802:C804))</f>
        <v>0.0325</v>
      </c>
      <c r="H806" s="6">
        <v>42370</v>
      </c>
      <c r="I806" s="6"/>
      <c r="J806" s="116">
        <f>AVERAGE(C794:C805)</f>
        <v>0.0326</v>
      </c>
      <c r="K806" s="60" t="s">
        <v>356</v>
      </c>
      <c r="L806" s="3" t="str">
        <f>IF(K806=0,L805,RIGHT(K806,5))</f>
        <v> 3.50</v>
      </c>
    </row>
    <row r="807" spans="1:12" ht="15">
      <c r="A807" s="45">
        <f t="shared" si="30"/>
        <v>42420</v>
      </c>
      <c r="B807" s="46">
        <v>42420</v>
      </c>
      <c r="C807" s="373">
        <f t="shared" si="32"/>
        <v>0.035</v>
      </c>
      <c r="D807" s="48"/>
      <c r="E807" s="66" t="str">
        <f t="shared" si="31"/>
        <v>1Q2016</v>
      </c>
      <c r="F807" s="374">
        <f>+F806</f>
        <v>0.0325</v>
      </c>
      <c r="G807" s="48"/>
      <c r="H807" s="375">
        <v>42401</v>
      </c>
      <c r="I807" s="48"/>
      <c r="J807" s="376">
        <f t="shared" si="28"/>
        <v>0.03280833333333333</v>
      </c>
      <c r="K807" s="377" t="s">
        <v>345</v>
      </c>
      <c r="L807" s="66" t="str">
        <f t="shared" si="29"/>
        <v> 3.50</v>
      </c>
    </row>
    <row r="808" spans="1:12" ht="15">
      <c r="A808" s="39">
        <f t="shared" si="30"/>
        <v>42449</v>
      </c>
      <c r="B808" s="40">
        <v>42449</v>
      </c>
      <c r="C808" s="373">
        <f t="shared" si="32"/>
        <v>0.035</v>
      </c>
      <c r="D808" s="48"/>
      <c r="E808" s="66" t="str">
        <f t="shared" si="31"/>
        <v>1Q2016</v>
      </c>
      <c r="F808" s="374">
        <f>+F807</f>
        <v>0.0325</v>
      </c>
      <c r="G808" s="48"/>
      <c r="H808" s="375">
        <v>42430</v>
      </c>
      <c r="I808" s="48"/>
      <c r="J808" s="376">
        <f t="shared" si="28"/>
        <v>0.033016666666666666</v>
      </c>
      <c r="K808" s="377" t="s">
        <v>346</v>
      </c>
      <c r="L808" s="66" t="str">
        <f aca="true" t="shared" si="33" ref="L808:L817">IF(K807=0,L807,RIGHT(K807,5))</f>
        <v> 3.50</v>
      </c>
    </row>
    <row r="809" spans="1:12" ht="15">
      <c r="A809" s="39">
        <f t="shared" si="30"/>
        <v>42480</v>
      </c>
      <c r="B809" s="40">
        <v>42480</v>
      </c>
      <c r="C809" s="373">
        <f t="shared" si="32"/>
        <v>0.035</v>
      </c>
      <c r="D809" s="48"/>
      <c r="E809" s="66" t="str">
        <f t="shared" si="31"/>
        <v>2Q2016</v>
      </c>
      <c r="F809" s="374">
        <f>IF(COUNTIF(C805:C807,"&gt;0")&lt;3,"N/A",AVERAGE(C805:C807))</f>
        <v>0.03456666666666667</v>
      </c>
      <c r="G809" s="48"/>
      <c r="H809" s="375">
        <v>42461</v>
      </c>
      <c r="I809" s="48"/>
      <c r="J809" s="376">
        <f t="shared" si="28"/>
        <v>0.033225000000000005</v>
      </c>
      <c r="K809" s="377" t="s">
        <v>347</v>
      </c>
      <c r="L809" s="66" t="str">
        <f t="shared" si="33"/>
        <v> 3.50</v>
      </c>
    </row>
    <row r="810" spans="1:12" ht="15">
      <c r="A810" s="45">
        <f t="shared" si="30"/>
        <v>42510</v>
      </c>
      <c r="B810" s="46">
        <v>42510</v>
      </c>
      <c r="C810" s="349">
        <f t="shared" si="32"/>
        <v>0.035</v>
      </c>
      <c r="D810" s="350"/>
      <c r="E810" s="351" t="str">
        <f t="shared" si="31"/>
        <v>2Q2016</v>
      </c>
      <c r="F810" s="352">
        <f>+F809</f>
        <v>0.03456666666666667</v>
      </c>
      <c r="G810" s="350"/>
      <c r="H810" s="353">
        <v>42491</v>
      </c>
      <c r="I810" s="350"/>
      <c r="J810" s="354">
        <f t="shared" si="28"/>
        <v>0.03343333333333334</v>
      </c>
      <c r="K810" s="355" t="s">
        <v>348</v>
      </c>
      <c r="L810" s="351" t="str">
        <f t="shared" si="33"/>
        <v> 3.50</v>
      </c>
    </row>
    <row r="811" spans="1:12" ht="15">
      <c r="A811" s="39">
        <f t="shared" si="30"/>
        <v>42541</v>
      </c>
      <c r="B811" s="40">
        <v>42541</v>
      </c>
      <c r="C811" s="349">
        <f t="shared" si="32"/>
        <v>0.035</v>
      </c>
      <c r="D811" s="350"/>
      <c r="E811" s="351" t="str">
        <f t="shared" si="31"/>
        <v>2Q2016</v>
      </c>
      <c r="F811" s="352">
        <f>+F810</f>
        <v>0.03456666666666667</v>
      </c>
      <c r="G811" s="350"/>
      <c r="H811" s="353">
        <v>42522</v>
      </c>
      <c r="I811" s="350"/>
      <c r="J811" s="354">
        <f t="shared" si="28"/>
        <v>0.03364166666666668</v>
      </c>
      <c r="K811" s="355" t="s">
        <v>349</v>
      </c>
      <c r="L811" s="351" t="str">
        <f t="shared" si="33"/>
        <v> 3.50</v>
      </c>
    </row>
    <row r="812" spans="1:12" ht="15">
      <c r="A812" s="39">
        <f t="shared" si="30"/>
        <v>42571</v>
      </c>
      <c r="B812" s="40">
        <v>42571</v>
      </c>
      <c r="C812" s="349">
        <f t="shared" si="32"/>
        <v>0.035</v>
      </c>
      <c r="D812" s="350"/>
      <c r="E812" s="351" t="str">
        <f t="shared" si="31"/>
        <v>3Q2016</v>
      </c>
      <c r="F812" s="352">
        <f>IF(COUNTIF(C808:C810,"&gt;0")&lt;3,"N/A",AVERAGE(C808:C810))</f>
        <v>0.035</v>
      </c>
      <c r="G812" s="350"/>
      <c r="H812" s="353">
        <v>42552</v>
      </c>
      <c r="I812" s="350"/>
      <c r="J812" s="354">
        <f t="shared" si="28"/>
        <v>0.03385000000000001</v>
      </c>
      <c r="K812" s="355" t="s">
        <v>350</v>
      </c>
      <c r="L812" s="351" t="str">
        <f t="shared" si="33"/>
        <v> 3.50</v>
      </c>
    </row>
    <row r="813" spans="1:12" ht="15">
      <c r="A813" s="45">
        <f t="shared" si="30"/>
        <v>42602</v>
      </c>
      <c r="B813" s="46">
        <v>42602</v>
      </c>
      <c r="C813" s="349">
        <f t="shared" si="32"/>
        <v>0.035</v>
      </c>
      <c r="D813" s="350"/>
      <c r="E813" s="351" t="str">
        <f t="shared" si="31"/>
        <v>3Q2016</v>
      </c>
      <c r="F813" s="352">
        <f>+F812</f>
        <v>0.035</v>
      </c>
      <c r="G813" s="350"/>
      <c r="H813" s="353">
        <v>42583</v>
      </c>
      <c r="I813" s="350"/>
      <c r="J813" s="354">
        <f t="shared" si="28"/>
        <v>0.03405833333333335</v>
      </c>
      <c r="K813" s="355" t="s">
        <v>351</v>
      </c>
      <c r="L813" s="351" t="str">
        <f t="shared" si="33"/>
        <v> 3.50</v>
      </c>
    </row>
    <row r="814" spans="1:12" ht="15">
      <c r="A814" s="39">
        <f t="shared" si="30"/>
        <v>42633</v>
      </c>
      <c r="B814" s="40">
        <v>42633</v>
      </c>
      <c r="C814" s="349">
        <f t="shared" si="32"/>
        <v>0.035</v>
      </c>
      <c r="D814" s="350"/>
      <c r="E814" s="351" t="str">
        <f t="shared" si="31"/>
        <v>3Q2016</v>
      </c>
      <c r="F814" s="352">
        <f>+F813</f>
        <v>0.035</v>
      </c>
      <c r="G814" s="350"/>
      <c r="H814" s="353">
        <v>42614</v>
      </c>
      <c r="I814" s="350"/>
      <c r="J814" s="354">
        <f t="shared" si="28"/>
        <v>0.034266666666666674</v>
      </c>
      <c r="K814" s="355" t="s">
        <v>352</v>
      </c>
      <c r="L814" s="351" t="str">
        <f t="shared" si="33"/>
        <v> 3.50</v>
      </c>
    </row>
    <row r="815" spans="1:12" ht="15">
      <c r="A815" s="39">
        <f t="shared" si="30"/>
        <v>42663</v>
      </c>
      <c r="B815" s="40">
        <v>42663</v>
      </c>
      <c r="C815" s="349">
        <f t="shared" si="32"/>
        <v>0.035</v>
      </c>
      <c r="D815" s="350"/>
      <c r="E815" s="351" t="str">
        <f t="shared" si="31"/>
        <v>4Q2016</v>
      </c>
      <c r="F815" s="352">
        <f>IF(COUNTIF(C811:C813,"&gt;0")&lt;3,"N/A",AVERAGE(C811:C813))</f>
        <v>0.035</v>
      </c>
      <c r="G815" s="350"/>
      <c r="H815" s="353">
        <v>42644</v>
      </c>
      <c r="I815" s="350"/>
      <c r="J815" s="354">
        <f t="shared" si="28"/>
        <v>0.03447500000000001</v>
      </c>
      <c r="K815" s="355" t="s">
        <v>353</v>
      </c>
      <c r="L815" s="351" t="str">
        <f t="shared" si="33"/>
        <v> 3.50</v>
      </c>
    </row>
    <row r="816" spans="1:12" ht="15">
      <c r="A816" s="45">
        <f t="shared" si="30"/>
        <v>42694</v>
      </c>
      <c r="B816" s="46">
        <v>42694</v>
      </c>
      <c r="C816" s="349">
        <f t="shared" si="32"/>
        <v>0.035</v>
      </c>
      <c r="D816" s="350"/>
      <c r="E816" s="351" t="str">
        <f t="shared" si="31"/>
        <v>4Q2016</v>
      </c>
      <c r="F816" s="352">
        <f>+F815</f>
        <v>0.035</v>
      </c>
      <c r="G816" s="350"/>
      <c r="H816" s="353">
        <v>42675</v>
      </c>
      <c r="I816" s="350"/>
      <c r="J816" s="354">
        <f t="shared" si="28"/>
        <v>0.034683333333333344</v>
      </c>
      <c r="K816" s="355" t="s">
        <v>354</v>
      </c>
      <c r="L816" s="351" t="str">
        <f t="shared" si="33"/>
        <v> 3.50</v>
      </c>
    </row>
    <row r="817" spans="1:12" ht="15">
      <c r="A817" s="39">
        <f t="shared" si="30"/>
        <v>42724</v>
      </c>
      <c r="B817" s="40">
        <v>42724</v>
      </c>
      <c r="C817" s="349">
        <f t="shared" si="32"/>
        <v>0.035</v>
      </c>
      <c r="D817" s="350"/>
      <c r="E817" s="351" t="str">
        <f t="shared" si="31"/>
        <v>4Q2016</v>
      </c>
      <c r="F817" s="352">
        <f>+F816</f>
        <v>0.035</v>
      </c>
      <c r="G817" s="350"/>
      <c r="H817" s="353">
        <v>42705</v>
      </c>
      <c r="I817" s="350"/>
      <c r="J817" s="354">
        <f t="shared" si="28"/>
        <v>0.03489166666666668</v>
      </c>
      <c r="K817" s="355" t="s">
        <v>355</v>
      </c>
      <c r="L817" s="351" t="str">
        <f t="shared" si="33"/>
        <v> 3.50</v>
      </c>
    </row>
    <row r="818" spans="1:12" ht="15">
      <c r="A818" s="39">
        <f t="shared" si="30"/>
        <v>42755</v>
      </c>
      <c r="B818" s="40">
        <v>42755</v>
      </c>
      <c r="C818" s="349">
        <f t="shared" si="32"/>
        <v>0.035</v>
      </c>
      <c r="E818" s="3" t="str">
        <f t="shared" si="31"/>
        <v>1Q2017</v>
      </c>
      <c r="F818" s="49">
        <f>IF(COUNTIF(C814:C816,"&gt;0")&lt;3,"N/A",AVERAGE(C814:C816))</f>
        <v>0.035</v>
      </c>
      <c r="H818" s="6">
        <v>42736</v>
      </c>
      <c r="J818" s="116">
        <f>AVERAGE(C806:C817)</f>
        <v>0.03500000000000001</v>
      </c>
      <c r="K818" s="60" t="s">
        <v>358</v>
      </c>
      <c r="L818" s="3" t="str">
        <f>IF(K818=0,L817,RIGHT(K818,5))</f>
        <v> 3.50</v>
      </c>
    </row>
    <row r="819" spans="1:12" ht="15">
      <c r="A819" s="45">
        <f t="shared" si="30"/>
        <v>42786</v>
      </c>
      <c r="B819" s="46">
        <v>42786</v>
      </c>
      <c r="C819" s="349">
        <f t="shared" si="32"/>
        <v>0.035</v>
      </c>
      <c r="E819" s="3" t="str">
        <f t="shared" si="31"/>
        <v>1Q2017</v>
      </c>
      <c r="F819" s="49">
        <f>+F818</f>
        <v>0.035</v>
      </c>
      <c r="H819" s="375">
        <v>42767</v>
      </c>
      <c r="J819" s="376">
        <f t="shared" si="28"/>
        <v>0.03500000000000001</v>
      </c>
      <c r="K819" s="377" t="s">
        <v>359</v>
      </c>
      <c r="L819" s="66" t="str">
        <f>IF(K819=0,L818,RIGHT(K819,5))</f>
        <v> 3.50</v>
      </c>
    </row>
    <row r="820" spans="1:12" ht="15">
      <c r="A820" s="39">
        <f t="shared" si="30"/>
        <v>42814</v>
      </c>
      <c r="B820" s="40">
        <v>42814</v>
      </c>
      <c r="C820" s="349">
        <f t="shared" si="32"/>
        <v>0.035</v>
      </c>
      <c r="E820" s="3" t="str">
        <f t="shared" si="31"/>
        <v>1Q2017</v>
      </c>
      <c r="F820" s="49">
        <f>+F819</f>
        <v>0.035</v>
      </c>
      <c r="H820" s="375">
        <v>42795</v>
      </c>
      <c r="J820" s="376">
        <f t="shared" si="28"/>
        <v>0.03500000000000001</v>
      </c>
      <c r="K820" s="377" t="s">
        <v>360</v>
      </c>
      <c r="L820" s="66" t="str">
        <f aca="true" t="shared" si="34" ref="L820:L829">IF(K819=0,L819,RIGHT(K819,5))</f>
        <v> 3.50</v>
      </c>
    </row>
    <row r="821" spans="1:12" ht="15">
      <c r="A821" s="39">
        <f t="shared" si="30"/>
        <v>42845</v>
      </c>
      <c r="B821" s="40">
        <v>42845</v>
      </c>
      <c r="C821" s="349">
        <f t="shared" si="32"/>
        <v>0.035</v>
      </c>
      <c r="E821" s="3" t="str">
        <f t="shared" si="31"/>
        <v>2Q2017</v>
      </c>
      <c r="F821" s="49">
        <f>IF(COUNTIF(C817:C819,"&gt;0")&lt;3,"N/A",AVERAGE(C817:C819))</f>
        <v>0.035</v>
      </c>
      <c r="H821" s="375">
        <v>42826</v>
      </c>
      <c r="J821" s="376">
        <f t="shared" si="28"/>
        <v>0.03500000000000001</v>
      </c>
      <c r="K821" s="377" t="s">
        <v>357</v>
      </c>
      <c r="L821" s="66" t="str">
        <f t="shared" si="34"/>
        <v> 3.50</v>
      </c>
    </row>
    <row r="822" spans="1:12" ht="15">
      <c r="A822" s="45">
        <f t="shared" si="30"/>
        <v>42875</v>
      </c>
      <c r="B822" s="46">
        <v>42875</v>
      </c>
      <c r="C822" s="349">
        <f t="shared" si="32"/>
        <v>0.0371</v>
      </c>
      <c r="E822" s="3" t="str">
        <f t="shared" si="31"/>
        <v>2Q2017</v>
      </c>
      <c r="F822" s="49">
        <f>+F821</f>
        <v>0.035</v>
      </c>
      <c r="H822" s="353">
        <v>42856</v>
      </c>
      <c r="J822" s="354">
        <f t="shared" si="28"/>
        <v>0.03500000000000001</v>
      </c>
      <c r="K822" s="355" t="s">
        <v>361</v>
      </c>
      <c r="L822" s="351" t="str">
        <f t="shared" si="34"/>
        <v> 3.71</v>
      </c>
    </row>
    <row r="823" spans="1:12" ht="15">
      <c r="A823" s="39">
        <f t="shared" si="30"/>
        <v>42906</v>
      </c>
      <c r="B823" s="40">
        <v>42906</v>
      </c>
      <c r="C823" s="65">
        <f aca="true" t="shared" si="35" ref="C823:C829">+C822</f>
        <v>0.0371</v>
      </c>
      <c r="E823" s="3" t="str">
        <f t="shared" si="31"/>
        <v>2Q2017</v>
      </c>
      <c r="F823" s="49">
        <f>+F822</f>
        <v>0.035</v>
      </c>
      <c r="H823" s="353">
        <v>42887</v>
      </c>
      <c r="J823" s="354">
        <f t="shared" si="28"/>
        <v>0.03517500000000001</v>
      </c>
      <c r="K823" s="355" t="s">
        <v>362</v>
      </c>
      <c r="L823" s="351" t="str">
        <f t="shared" si="34"/>
        <v> 3.71</v>
      </c>
    </row>
    <row r="824" spans="1:12" ht="15">
      <c r="A824" s="39">
        <f t="shared" si="30"/>
        <v>42936</v>
      </c>
      <c r="B824" s="40">
        <v>42936</v>
      </c>
      <c r="C824" s="65">
        <f t="shared" si="35"/>
        <v>0.0371</v>
      </c>
      <c r="E824" s="3" t="str">
        <f t="shared" si="31"/>
        <v>3Q2017</v>
      </c>
      <c r="F824" s="49">
        <f>IF(COUNTIF(C820:C822,"&gt;0")&lt;3,"N/A",AVERAGE(C820:C822))</f>
        <v>0.0357</v>
      </c>
      <c r="H824" s="353">
        <v>42917</v>
      </c>
      <c r="J824" s="354">
        <f t="shared" si="28"/>
        <v>0.03535000000000001</v>
      </c>
      <c r="K824" s="355" t="s">
        <v>363</v>
      </c>
      <c r="L824" s="351" t="str">
        <f t="shared" si="34"/>
        <v> 3.71</v>
      </c>
    </row>
    <row r="825" spans="1:12" ht="15">
      <c r="A825" s="45">
        <f t="shared" si="30"/>
        <v>42967</v>
      </c>
      <c r="B825" s="46">
        <v>42967</v>
      </c>
      <c r="C825" s="65">
        <f t="shared" si="35"/>
        <v>0.0371</v>
      </c>
      <c r="E825" s="3" t="str">
        <f t="shared" si="31"/>
        <v>3Q2017</v>
      </c>
      <c r="F825" s="49">
        <f>+F824</f>
        <v>0.0357</v>
      </c>
      <c r="H825" s="353">
        <v>42948</v>
      </c>
      <c r="J825" s="354">
        <f t="shared" si="28"/>
        <v>0.03552500000000001</v>
      </c>
      <c r="K825" s="355" t="s">
        <v>364</v>
      </c>
      <c r="L825" s="351" t="str">
        <f t="shared" si="34"/>
        <v> 3.71</v>
      </c>
    </row>
    <row r="826" spans="1:12" ht="15">
      <c r="A826" s="39">
        <f t="shared" si="30"/>
        <v>42998</v>
      </c>
      <c r="B826" s="40">
        <v>42998</v>
      </c>
      <c r="C826" s="65">
        <f t="shared" si="35"/>
        <v>0.0371</v>
      </c>
      <c r="E826" s="3" t="str">
        <f t="shared" si="31"/>
        <v>3Q2017</v>
      </c>
      <c r="F826" s="49">
        <f>+F825</f>
        <v>0.0357</v>
      </c>
      <c r="H826" s="353">
        <v>42979</v>
      </c>
      <c r="J826" s="354">
        <f t="shared" si="28"/>
        <v>0.03570000000000001</v>
      </c>
      <c r="K826" s="355" t="s">
        <v>365</v>
      </c>
      <c r="L826" s="351" t="str">
        <f t="shared" si="34"/>
        <v> 3.71</v>
      </c>
    </row>
    <row r="827" spans="1:12" ht="15">
      <c r="A827" s="39">
        <f t="shared" si="30"/>
        <v>43028</v>
      </c>
      <c r="B827" s="40">
        <v>43028</v>
      </c>
      <c r="C827" s="65">
        <f t="shared" si="35"/>
        <v>0.0371</v>
      </c>
      <c r="E827" s="3" t="str">
        <f t="shared" si="31"/>
        <v>4Q2017</v>
      </c>
      <c r="F827" s="49">
        <f>IF(COUNTIF(C823:C825,"&gt;0")&lt;3,"N/A",AVERAGE(C823:C825))</f>
        <v>0.0371</v>
      </c>
      <c r="H827" s="353">
        <v>43009</v>
      </c>
      <c r="J827" s="354">
        <f>AVERAGE(C815:C826)</f>
        <v>0.03587500000000001</v>
      </c>
      <c r="K827" s="355" t="s">
        <v>366</v>
      </c>
      <c r="L827" s="351" t="str">
        <f t="shared" si="34"/>
        <v> 3.71</v>
      </c>
    </row>
    <row r="828" spans="1:12" ht="15">
      <c r="A828" s="45">
        <f t="shared" si="30"/>
        <v>43059</v>
      </c>
      <c r="B828" s="46">
        <v>43059</v>
      </c>
      <c r="C828" s="65">
        <f t="shared" si="35"/>
        <v>0.0371</v>
      </c>
      <c r="E828" s="3" t="str">
        <f t="shared" si="31"/>
        <v>4Q2017</v>
      </c>
      <c r="F828" s="49">
        <f>+F827</f>
        <v>0.0371</v>
      </c>
      <c r="H828" s="353">
        <v>43040</v>
      </c>
      <c r="J828" s="354">
        <f>AVERAGE(C816:C827)</f>
        <v>0.036050000000000006</v>
      </c>
      <c r="K828" s="355" t="s">
        <v>367</v>
      </c>
      <c r="L828" s="351" t="str">
        <f t="shared" si="34"/>
        <v> 3.71</v>
      </c>
    </row>
    <row r="829" spans="1:12" ht="15">
      <c r="A829" s="39">
        <f t="shared" si="30"/>
        <v>43089</v>
      </c>
      <c r="B829" s="40">
        <v>43089</v>
      </c>
      <c r="C829" s="65">
        <f t="shared" si="35"/>
        <v>0.0371</v>
      </c>
      <c r="E829" s="3" t="str">
        <f t="shared" si="31"/>
        <v>4Q2017</v>
      </c>
      <c r="F829" s="49">
        <f>+F828</f>
        <v>0.0371</v>
      </c>
      <c r="H829" s="353">
        <v>43070</v>
      </c>
      <c r="J829" s="354">
        <f>AVERAGE(C817:C828)</f>
        <v>0.03622500000000001</v>
      </c>
      <c r="K829" s="355" t="s">
        <v>368</v>
      </c>
      <c r="L829" s="351" t="str">
        <f t="shared" si="34"/>
        <v> 3.71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>
        <f>IF(COUNTIF(C826:C828,"&gt;0")&lt;3,"N/A",AVERAGE(C826:C828))</f>
        <v>0.0371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>
        <f>+F830</f>
        <v>0.0371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>
        <f>+F831</f>
        <v>0.0371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6" ref="A837:A865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6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6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6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6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6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6"/>
        <v>43516</v>
      </c>
      <c r="B843" s="46">
        <v>43516</v>
      </c>
      <c r="C843" s="65">
        <f t="shared" si="32"/>
        <v>0</v>
      </c>
      <c r="E843" s="3" t="str">
        <f aca="true" t="shared" si="37" ref="E843:E865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6"/>
        <v>43544</v>
      </c>
      <c r="B844" s="40">
        <v>43544</v>
      </c>
      <c r="C844" s="65">
        <f t="shared" si="32"/>
        <v>0</v>
      </c>
      <c r="E844" s="3" t="str">
        <f t="shared" si="37"/>
        <v>1Q2019</v>
      </c>
      <c r="F844" s="49" t="str">
        <f>+F843</f>
        <v>N/A</v>
      </c>
    </row>
    <row r="845" spans="1:6" ht="12.75">
      <c r="A845" s="39">
        <f t="shared" si="36"/>
        <v>43575</v>
      </c>
      <c r="B845" s="40">
        <v>43575</v>
      </c>
      <c r="C845" s="65">
        <f t="shared" si="32"/>
        <v>0</v>
      </c>
      <c r="E845" s="3" t="str">
        <f t="shared" si="37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6"/>
        <v>43605</v>
      </c>
      <c r="B846" s="46">
        <v>43605</v>
      </c>
      <c r="C846" s="65">
        <f t="shared" si="32"/>
        <v>0</v>
      </c>
      <c r="E846" s="3" t="str">
        <f t="shared" si="37"/>
        <v>2Q2019</v>
      </c>
      <c r="F846" s="49" t="str">
        <f>+F845</f>
        <v>N/A</v>
      </c>
    </row>
    <row r="847" spans="1:6" ht="12.75">
      <c r="A847" s="39">
        <f t="shared" si="36"/>
        <v>43636</v>
      </c>
      <c r="B847" s="40">
        <v>43636</v>
      </c>
      <c r="C847" s="65">
        <f t="shared" si="32"/>
        <v>0</v>
      </c>
      <c r="E847" s="3" t="str">
        <f t="shared" si="37"/>
        <v>2Q2019</v>
      </c>
      <c r="F847" s="49" t="str">
        <f>+F846</f>
        <v>N/A</v>
      </c>
    </row>
    <row r="848" spans="1:6" ht="12.75">
      <c r="A848" s="39">
        <f t="shared" si="36"/>
        <v>43666</v>
      </c>
      <c r="B848" s="40">
        <v>43666</v>
      </c>
      <c r="C848" s="65">
        <f aca="true" t="shared" si="38" ref="C848:C865">+L848%</f>
        <v>0</v>
      </c>
      <c r="E848" s="3" t="str">
        <f t="shared" si="37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6"/>
        <v>43697</v>
      </c>
      <c r="B849" s="46">
        <v>43697</v>
      </c>
      <c r="C849" s="65">
        <f t="shared" si="38"/>
        <v>0</v>
      </c>
      <c r="E849" s="3" t="str">
        <f t="shared" si="37"/>
        <v>3Q2019</v>
      </c>
      <c r="F849" s="49" t="str">
        <f>+F848</f>
        <v>N/A</v>
      </c>
    </row>
    <row r="850" spans="1:6" ht="12.75">
      <c r="A850" s="39">
        <f t="shared" si="36"/>
        <v>43728</v>
      </c>
      <c r="B850" s="40">
        <v>43728</v>
      </c>
      <c r="C850" s="65">
        <f t="shared" si="38"/>
        <v>0</v>
      </c>
      <c r="E850" s="3" t="str">
        <f t="shared" si="37"/>
        <v>3Q2019</v>
      </c>
      <c r="F850" s="49" t="str">
        <f>+F849</f>
        <v>N/A</v>
      </c>
    </row>
    <row r="851" spans="1:6" ht="12.75">
      <c r="A851" s="39">
        <f t="shared" si="36"/>
        <v>43758</v>
      </c>
      <c r="B851" s="40">
        <v>43758</v>
      </c>
      <c r="C851" s="65">
        <f t="shared" si="38"/>
        <v>0</v>
      </c>
      <c r="E851" s="3" t="str">
        <f t="shared" si="37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6"/>
        <v>43789</v>
      </c>
      <c r="B852" s="46">
        <v>43789</v>
      </c>
      <c r="C852" s="65">
        <f t="shared" si="38"/>
        <v>0</v>
      </c>
      <c r="E852" s="3" t="str">
        <f t="shared" si="37"/>
        <v>4Q2019</v>
      </c>
      <c r="F852" s="49" t="str">
        <f>+F851</f>
        <v>N/A</v>
      </c>
    </row>
    <row r="853" spans="1:6" ht="12.75">
      <c r="A853" s="39">
        <f t="shared" si="36"/>
        <v>43819</v>
      </c>
      <c r="B853" s="40">
        <v>43819</v>
      </c>
      <c r="C853" s="65">
        <f t="shared" si="38"/>
        <v>0</v>
      </c>
      <c r="E853" s="3" t="str">
        <f t="shared" si="37"/>
        <v>4Q2019</v>
      </c>
      <c r="F853" s="49" t="str">
        <f>+F852</f>
        <v>N/A</v>
      </c>
    </row>
    <row r="854" spans="1:6" ht="12.75">
      <c r="A854" s="39">
        <f t="shared" si="36"/>
        <v>43850</v>
      </c>
      <c r="B854" s="40">
        <v>43850</v>
      </c>
      <c r="C854" s="65">
        <f t="shared" si="38"/>
        <v>0</v>
      </c>
      <c r="E854" s="3" t="str">
        <f t="shared" si="37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6"/>
        <v>43881</v>
      </c>
      <c r="B855" s="46">
        <v>43881</v>
      </c>
      <c r="C855" s="65">
        <f t="shared" si="38"/>
        <v>0</v>
      </c>
      <c r="E855" s="3" t="str">
        <f t="shared" si="37"/>
        <v>1Q2020</v>
      </c>
      <c r="F855" s="49" t="str">
        <f>+F854</f>
        <v>N/A</v>
      </c>
    </row>
    <row r="856" spans="1:6" ht="12.75">
      <c r="A856" s="39">
        <f t="shared" si="36"/>
        <v>43910</v>
      </c>
      <c r="B856" s="40">
        <v>43910</v>
      </c>
      <c r="C856" s="65">
        <f t="shared" si="38"/>
        <v>0</v>
      </c>
      <c r="E856" s="3" t="str">
        <f t="shared" si="37"/>
        <v>1Q2020</v>
      </c>
      <c r="F856" s="49" t="str">
        <f>+F855</f>
        <v>N/A</v>
      </c>
    </row>
    <row r="857" spans="1:6" ht="12.75">
      <c r="A857" s="39">
        <f t="shared" si="36"/>
        <v>43941</v>
      </c>
      <c r="B857" s="40">
        <v>43941</v>
      </c>
      <c r="C857" s="65">
        <f t="shared" si="38"/>
        <v>0</v>
      </c>
      <c r="E857" s="3" t="str">
        <f t="shared" si="37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6"/>
        <v>43971</v>
      </c>
      <c r="B858" s="46">
        <v>43971</v>
      </c>
      <c r="C858" s="65">
        <f t="shared" si="38"/>
        <v>0</v>
      </c>
      <c r="E858" s="3" t="str">
        <f t="shared" si="37"/>
        <v>2Q2020</v>
      </c>
      <c r="F858" s="49" t="str">
        <f>+F857</f>
        <v>N/A</v>
      </c>
    </row>
    <row r="859" spans="1:6" ht="12.75">
      <c r="A859" s="39">
        <f t="shared" si="36"/>
        <v>44002</v>
      </c>
      <c r="B859" s="40">
        <v>44002</v>
      </c>
      <c r="C859" s="65">
        <f t="shared" si="38"/>
        <v>0</v>
      </c>
      <c r="E859" s="3" t="str">
        <f t="shared" si="37"/>
        <v>2Q2020</v>
      </c>
      <c r="F859" s="49" t="str">
        <f>+F858</f>
        <v>N/A</v>
      </c>
    </row>
    <row r="860" spans="1:6" ht="12.75">
      <c r="A860" s="39">
        <f t="shared" si="36"/>
        <v>44032</v>
      </c>
      <c r="B860" s="40">
        <v>44032</v>
      </c>
      <c r="C860" s="65">
        <f t="shared" si="38"/>
        <v>0</v>
      </c>
      <c r="E860" s="3" t="str">
        <f t="shared" si="37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6"/>
        <v>44063</v>
      </c>
      <c r="B861" s="46">
        <v>44063</v>
      </c>
      <c r="C861" s="65">
        <f t="shared" si="38"/>
        <v>0</v>
      </c>
      <c r="E861" s="3" t="str">
        <f t="shared" si="37"/>
        <v>3Q2020</v>
      </c>
      <c r="F861" s="49" t="str">
        <f>+F860</f>
        <v>N/A</v>
      </c>
    </row>
    <row r="862" spans="1:6" ht="12.75">
      <c r="A862" s="39">
        <f t="shared" si="36"/>
        <v>44094</v>
      </c>
      <c r="B862" s="40">
        <v>44094</v>
      </c>
      <c r="C862" s="65">
        <f t="shared" si="38"/>
        <v>0</v>
      </c>
      <c r="E862" s="3" t="str">
        <f t="shared" si="37"/>
        <v>3Q2020</v>
      </c>
      <c r="F862" s="49" t="str">
        <f>+F861</f>
        <v>N/A</v>
      </c>
    </row>
    <row r="863" spans="1:6" ht="12.75">
      <c r="A863" s="39">
        <f t="shared" si="36"/>
        <v>44124</v>
      </c>
      <c r="B863" s="40">
        <v>44124</v>
      </c>
      <c r="C863" s="65">
        <f t="shared" si="38"/>
        <v>0</v>
      </c>
      <c r="E863" s="3" t="str">
        <f t="shared" si="37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6"/>
        <v>44155</v>
      </c>
      <c r="B864" s="46">
        <v>44155</v>
      </c>
      <c r="C864" s="65">
        <f t="shared" si="38"/>
        <v>0</v>
      </c>
      <c r="E864" s="3" t="str">
        <f t="shared" si="37"/>
        <v>4Q2020</v>
      </c>
      <c r="F864" s="49" t="str">
        <f>+F863</f>
        <v>N/A</v>
      </c>
    </row>
    <row r="865" spans="1:6" ht="12.75">
      <c r="A865" s="39">
        <f t="shared" si="36"/>
        <v>44185</v>
      </c>
      <c r="B865" s="40">
        <v>44185</v>
      </c>
      <c r="C865" s="65">
        <f t="shared" si="38"/>
        <v>0</v>
      </c>
      <c r="E865" s="3" t="str">
        <f t="shared" si="37"/>
        <v>4Q2020</v>
      </c>
      <c r="F865" s="49" t="str">
        <f>+F864</f>
        <v>N/A</v>
      </c>
    </row>
    <row r="866" spans="1:6" ht="12.75">
      <c r="A866" s="39"/>
      <c r="C866" s="65"/>
      <c r="F866" s="49"/>
    </row>
    <row r="867" spans="1:6" ht="12.75">
      <c r="A867" s="45"/>
      <c r="B867" s="46"/>
      <c r="C867" s="65"/>
      <c r="F867" s="49"/>
    </row>
    <row r="868" spans="1:6" ht="12.75">
      <c r="A868" s="39"/>
      <c r="C868" s="65"/>
      <c r="F868" s="49"/>
    </row>
    <row r="869" spans="1:6" ht="12.75">
      <c r="A869" s="39"/>
      <c r="C869" s="65"/>
      <c r="F869" s="49"/>
    </row>
    <row r="870" spans="1:6" ht="12.75">
      <c r="A870" s="45"/>
      <c r="B870" s="46"/>
      <c r="C870" s="65"/>
      <c r="F870" s="49"/>
    </row>
    <row r="871" spans="1:6" ht="12.75">
      <c r="A871" s="39"/>
      <c r="C871" s="65"/>
      <c r="F871" s="49"/>
    </row>
    <row r="872" spans="1:6" ht="12.75">
      <c r="A872" s="39"/>
      <c r="C872" s="65"/>
      <c r="F872" s="49"/>
    </row>
    <row r="873" spans="1:6" ht="12.75">
      <c r="A873" s="45"/>
      <c r="B873" s="46"/>
      <c r="C873" s="65"/>
      <c r="F873" s="49"/>
    </row>
    <row r="874" spans="1:6" ht="12.75">
      <c r="A874" s="39"/>
      <c r="C874" s="65"/>
      <c r="F874" s="49"/>
    </row>
    <row r="875" spans="1:6" ht="12.75">
      <c r="A875" s="39"/>
      <c r="C875" s="65"/>
      <c r="F875" s="49"/>
    </row>
    <row r="876" spans="1:6" ht="12.75">
      <c r="A876" s="45"/>
      <c r="B876" s="46"/>
      <c r="C876" s="65"/>
      <c r="F876" s="49"/>
    </row>
    <row r="877" spans="1:6" ht="12.75">
      <c r="A877" s="39"/>
      <c r="C877" s="65"/>
      <c r="F877" s="49"/>
    </row>
    <row r="878" spans="1:6" ht="12.75">
      <c r="A878" s="39"/>
      <c r="C878" s="65"/>
      <c r="F878" s="49"/>
    </row>
    <row r="879" spans="1:6" ht="12.75">
      <c r="A879" s="45"/>
      <c r="B879" s="46"/>
      <c r="C879" s="65"/>
      <c r="F879" s="49"/>
    </row>
    <row r="880" spans="1:6" ht="12.75">
      <c r="A880" s="39"/>
      <c r="C880" s="65"/>
      <c r="F880" s="49"/>
    </row>
    <row r="881" spans="1:6" ht="12.75">
      <c r="A881" s="39"/>
      <c r="C881" s="65"/>
      <c r="F881" s="49"/>
    </row>
    <row r="882" spans="1:6" ht="12.75">
      <c r="A882" s="45"/>
      <c r="B882" s="46"/>
      <c r="C882" s="65"/>
      <c r="F882" s="49"/>
    </row>
    <row r="883" spans="1:6" ht="12.75">
      <c r="A883" s="39"/>
      <c r="C883" s="65"/>
      <c r="F883" s="49"/>
    </row>
    <row r="884" spans="1:6" ht="12.75">
      <c r="A884" s="39"/>
      <c r="C884" s="65"/>
      <c r="F884" s="49"/>
    </row>
    <row r="885" spans="1:6" ht="12.75">
      <c r="A885" s="45"/>
      <c r="B885" s="46"/>
      <c r="C885" s="65"/>
      <c r="F885" s="49"/>
    </row>
    <row r="886" spans="1:6" ht="12.75">
      <c r="A886" s="39"/>
      <c r="C886" s="65"/>
      <c r="F886" s="49"/>
    </row>
    <row r="887" spans="1:6" ht="12.75">
      <c r="A887" s="39"/>
      <c r="C887" s="65"/>
      <c r="F887" s="49"/>
    </row>
    <row r="888" spans="1:6" ht="12.75">
      <c r="A888" s="45"/>
      <c r="B888" s="46"/>
      <c r="C888" s="65"/>
      <c r="F888" s="49"/>
    </row>
    <row r="889" spans="1:6" ht="12.75">
      <c r="A889" s="39"/>
      <c r="C889" s="65"/>
      <c r="F889" s="49"/>
    </row>
    <row r="890" spans="1:6" ht="12.75">
      <c r="A890" s="39"/>
      <c r="C890" s="65"/>
      <c r="F890" s="49"/>
    </row>
    <row r="891" spans="1:6" ht="12.75">
      <c r="A891" s="45"/>
      <c r="B891" s="46"/>
      <c r="C891" s="65"/>
      <c r="F891" s="49"/>
    </row>
    <row r="892" spans="1:6" ht="12.75">
      <c r="A892" s="39"/>
      <c r="C892" s="65"/>
      <c r="F892" s="49"/>
    </row>
    <row r="893" spans="1:6" ht="12.75">
      <c r="A893" s="39"/>
      <c r="C893" s="65"/>
      <c r="F893" s="49"/>
    </row>
    <row r="894" spans="1:6" ht="12.75">
      <c r="A894" s="45"/>
      <c r="B894" s="46"/>
      <c r="C894" s="65"/>
      <c r="F894" s="49"/>
    </row>
    <row r="895" spans="1:6" ht="12.75">
      <c r="A895" s="39"/>
      <c r="C895" s="65"/>
      <c r="F895" s="49"/>
    </row>
    <row r="896" spans="1:6" ht="12.75">
      <c r="A896" s="39"/>
      <c r="C896" s="65"/>
      <c r="F896" s="49"/>
    </row>
    <row r="897" spans="1:6" ht="12.75">
      <c r="A897" s="45"/>
      <c r="B897" s="46"/>
      <c r="C897" s="65"/>
      <c r="F897" s="49"/>
    </row>
    <row r="898" spans="1:6" ht="12.75">
      <c r="A898" s="39"/>
      <c r="C898" s="65"/>
      <c r="F898" s="49"/>
    </row>
    <row r="899" spans="1:6" ht="12.75">
      <c r="A899" s="39"/>
      <c r="C899" s="65"/>
      <c r="F899" s="49"/>
    </row>
    <row r="900" spans="1:6" ht="12.75">
      <c r="A900" s="45"/>
      <c r="B900" s="46"/>
      <c r="C900" s="65"/>
      <c r="F900" s="49"/>
    </row>
    <row r="901" spans="1:6" ht="12.75">
      <c r="A901" s="39"/>
      <c r="C901" s="65"/>
      <c r="F901" s="49"/>
    </row>
    <row r="902" spans="1:6" ht="12.75">
      <c r="A902" s="39"/>
      <c r="C902" s="65"/>
      <c r="F902" s="49"/>
    </row>
    <row r="903" spans="1:6" ht="12.75">
      <c r="A903" s="45"/>
      <c r="B903" s="46"/>
      <c r="C903" s="65"/>
      <c r="F903" s="49"/>
    </row>
    <row r="904" spans="1:6" ht="12.75">
      <c r="A904" s="39"/>
      <c r="C904" s="65"/>
      <c r="F904" s="49"/>
    </row>
    <row r="905" spans="1:6" ht="12.75">
      <c r="A905" s="39"/>
      <c r="C905" s="65"/>
      <c r="F905" s="49"/>
    </row>
    <row r="906" spans="1:6" ht="12.75">
      <c r="A906" s="45"/>
      <c r="B906" s="46"/>
      <c r="C906" s="65"/>
      <c r="F906" s="49"/>
    </row>
    <row r="907" spans="1:6" ht="12.75">
      <c r="A907" s="39"/>
      <c r="C907" s="65"/>
      <c r="F907" s="49"/>
    </row>
    <row r="908" spans="1:6" ht="12.75">
      <c r="A908" s="39"/>
      <c r="C908" s="65"/>
      <c r="F908" s="49"/>
    </row>
    <row r="909" spans="1:6" ht="12.75">
      <c r="A909" s="45"/>
      <c r="B909" s="46"/>
      <c r="C909" s="65"/>
      <c r="F909" s="49"/>
    </row>
    <row r="910" spans="1:6" ht="12.75">
      <c r="A910" s="39"/>
      <c r="C910" s="65"/>
      <c r="F910" s="49"/>
    </row>
    <row r="911" spans="1:6" ht="12.75">
      <c r="A911" s="39"/>
      <c r="C911" s="65"/>
      <c r="F911" s="49"/>
    </row>
    <row r="912" spans="1:6" ht="12.75">
      <c r="A912" s="45"/>
      <c r="B912" s="46"/>
      <c r="C912" s="65"/>
      <c r="F912" s="49"/>
    </row>
    <row r="913" spans="1:6" ht="12.75">
      <c r="A913" s="39"/>
      <c r="C913" s="65"/>
      <c r="F913" s="49"/>
    </row>
    <row r="914" spans="1:6" ht="12.75">
      <c r="A914" s="39"/>
      <c r="C914" s="65"/>
      <c r="F914" s="49"/>
    </row>
    <row r="915" spans="1:6" ht="12.75">
      <c r="A915" s="45"/>
      <c r="B915" s="46"/>
      <c r="C915" s="65"/>
      <c r="F915" s="49"/>
    </row>
    <row r="916" spans="1:6" ht="12.75">
      <c r="A916" s="39"/>
      <c r="C916" s="65"/>
      <c r="F916" s="49"/>
    </row>
    <row r="917" spans="1:6" ht="12.75">
      <c r="A917" s="39"/>
      <c r="C917" s="65"/>
      <c r="F917" s="49"/>
    </row>
    <row r="918" spans="1:6" ht="12.75">
      <c r="A918" s="45"/>
      <c r="B918" s="46"/>
      <c r="C918" s="65"/>
      <c r="F918" s="49"/>
    </row>
    <row r="919" spans="1:6" ht="12.75">
      <c r="A919" s="39"/>
      <c r="C919" s="65"/>
      <c r="F919" s="49"/>
    </row>
    <row r="920" spans="1:6" ht="12.75">
      <c r="A920" s="39"/>
      <c r="C920" s="65"/>
      <c r="F920" s="49"/>
    </row>
    <row r="921" spans="1:6" ht="12.75">
      <c r="A921" s="45"/>
      <c r="B921" s="46"/>
      <c r="C921" s="65"/>
      <c r="F921" s="49"/>
    </row>
    <row r="922" spans="1:6" ht="12.75">
      <c r="A922" s="39"/>
      <c r="C922" s="65"/>
      <c r="F922" s="49"/>
    </row>
    <row r="923" spans="1:6" ht="12.75">
      <c r="A923" s="39"/>
      <c r="C923" s="65"/>
      <c r="F923" s="49"/>
    </row>
    <row r="924" spans="1:6" ht="12.75">
      <c r="A924" s="45"/>
      <c r="B924" s="46"/>
      <c r="C924" s="65"/>
      <c r="F924" s="49"/>
    </row>
    <row r="925" spans="1:6" ht="12.75">
      <c r="A925" s="39"/>
      <c r="C925" s="65"/>
      <c r="F925" s="49"/>
    </row>
    <row r="926" spans="1:6" ht="12.75">
      <c r="A926" s="39"/>
      <c r="C926" s="65"/>
      <c r="F926" s="49"/>
    </row>
    <row r="927" spans="1:6" ht="12.75">
      <c r="A927" s="45"/>
      <c r="B927" s="46"/>
      <c r="C927" s="65"/>
      <c r="F927" s="49"/>
    </row>
    <row r="928" spans="1:6" ht="12.75">
      <c r="A928" s="39"/>
      <c r="C928" s="65"/>
      <c r="F928" s="49"/>
    </row>
    <row r="929" spans="1:6" ht="12.75">
      <c r="A929" s="39"/>
      <c r="C929" s="65"/>
      <c r="F929" s="49"/>
    </row>
    <row r="930" spans="1:6" ht="12.75">
      <c r="A930" s="45"/>
      <c r="B930" s="46"/>
      <c r="C930" s="65"/>
      <c r="F930" s="49"/>
    </row>
    <row r="931" spans="1:6" ht="12.75">
      <c r="A931" s="39"/>
      <c r="C931" s="65"/>
      <c r="F931" s="49"/>
    </row>
    <row r="932" spans="1:6" ht="12.75">
      <c r="A932" s="39"/>
      <c r="C932" s="65"/>
      <c r="F932" s="49"/>
    </row>
    <row r="933" spans="1:6" ht="12.75">
      <c r="A933" s="45"/>
      <c r="B933" s="46"/>
      <c r="C933" s="65"/>
      <c r="F933" s="49"/>
    </row>
    <row r="934" spans="1:6" ht="12.75">
      <c r="A934" s="39"/>
      <c r="C934" s="65"/>
      <c r="F934" s="49"/>
    </row>
    <row r="935" spans="1:6" ht="12.75">
      <c r="A935" s="39"/>
      <c r="C935" s="65"/>
      <c r="F935" s="49"/>
    </row>
    <row r="936" spans="1:6" ht="12.75">
      <c r="A936" s="45"/>
      <c r="B936" s="46"/>
      <c r="C936" s="65"/>
      <c r="F936" s="49"/>
    </row>
    <row r="937" spans="1:6" ht="12.75">
      <c r="A937" s="39"/>
      <c r="C937" s="65"/>
      <c r="F937" s="49"/>
    </row>
    <row r="938" spans="1:6" ht="12.75">
      <c r="A938" s="39"/>
      <c r="C938" s="65"/>
      <c r="F938" s="49"/>
    </row>
    <row r="939" spans="1:6" ht="12.75">
      <c r="A939" s="45"/>
      <c r="B939" s="46"/>
      <c r="C939" s="65"/>
      <c r="F939" s="49"/>
    </row>
    <row r="940" spans="1:6" ht="12.75">
      <c r="A940" s="39"/>
      <c r="C940" s="65"/>
      <c r="F940" s="49"/>
    </row>
    <row r="941" spans="1:6" ht="12.75">
      <c r="A941" s="39"/>
      <c r="C941" s="65"/>
      <c r="F941" s="49"/>
    </row>
    <row r="942" spans="1:6" ht="12.75">
      <c r="A942" s="45"/>
      <c r="B942" s="46"/>
      <c r="C942" s="65"/>
      <c r="F942" s="49"/>
    </row>
    <row r="943" spans="1:6" ht="12.75">
      <c r="A943" s="39"/>
      <c r="C943" s="65"/>
      <c r="F943" s="49"/>
    </row>
    <row r="944" spans="1:6" ht="12.75">
      <c r="A944" s="39"/>
      <c r="C944" s="65"/>
      <c r="F944" s="49"/>
    </row>
    <row r="945" spans="1:6" ht="12.75">
      <c r="A945" s="45"/>
      <c r="B945" s="46"/>
      <c r="C945" s="65"/>
      <c r="F945" s="49"/>
    </row>
    <row r="946" spans="1:6" ht="12.75">
      <c r="A946" s="39"/>
      <c r="C946" s="65"/>
      <c r="F946" s="49"/>
    </row>
    <row r="947" spans="1:6" ht="12.75">
      <c r="A947" s="39"/>
      <c r="C947" s="65"/>
      <c r="F947" s="49"/>
    </row>
    <row r="948" spans="1:6" ht="12.75">
      <c r="A948" s="45"/>
      <c r="B948" s="46"/>
      <c r="C948" s="65"/>
      <c r="F948" s="49"/>
    </row>
    <row r="949" spans="1:6" ht="12.75">
      <c r="A949" s="39"/>
      <c r="C949" s="65"/>
      <c r="F949" s="49"/>
    </row>
    <row r="950" spans="1:6" ht="12.75">
      <c r="A950" s="39"/>
      <c r="C950" s="65"/>
      <c r="F950" s="49"/>
    </row>
    <row r="951" spans="1:6" ht="12.75">
      <c r="A951" s="45"/>
      <c r="B951" s="46"/>
      <c r="C951" s="65"/>
      <c r="F951" s="49"/>
    </row>
    <row r="952" spans="1:6" ht="12.75">
      <c r="A952" s="39"/>
      <c r="C952" s="65"/>
      <c r="F952" s="49"/>
    </row>
    <row r="953" spans="1:6" ht="12.75">
      <c r="A953" s="39"/>
      <c r="C953" s="65"/>
      <c r="F953" s="49"/>
    </row>
    <row r="954" spans="1:6" ht="12.75">
      <c r="A954" s="45"/>
      <c r="B954" s="46"/>
      <c r="C954" s="65"/>
      <c r="F954" s="49"/>
    </row>
    <row r="955" spans="1:6" ht="12.75">
      <c r="A955" s="39"/>
      <c r="C955" s="65"/>
      <c r="F955" s="49"/>
    </row>
    <row r="956" spans="1:6" ht="12.75">
      <c r="A956" s="39"/>
      <c r="C956" s="65"/>
      <c r="F956" s="49"/>
    </row>
    <row r="957" spans="1:6" ht="12.75">
      <c r="A957" s="45"/>
      <c r="B957" s="46"/>
      <c r="C957" s="65"/>
      <c r="F957" s="49"/>
    </row>
    <row r="958" spans="1:6" ht="12.75">
      <c r="A958" s="39"/>
      <c r="C958" s="65"/>
      <c r="F958" s="49"/>
    </row>
    <row r="959" spans="1:6" ht="12.75">
      <c r="A959" s="39"/>
      <c r="C959" s="65"/>
      <c r="F959" s="49"/>
    </row>
    <row r="960" spans="1:6" ht="12.75">
      <c r="A960" s="45"/>
      <c r="B960" s="46"/>
      <c r="C960" s="65"/>
      <c r="F960" s="49"/>
    </row>
    <row r="961" spans="1:6" ht="12.75">
      <c r="A961" s="39"/>
      <c r="C961" s="65"/>
      <c r="F961" s="49"/>
    </row>
    <row r="962" spans="1:6" ht="12.75">
      <c r="A962" s="39"/>
      <c r="C962" s="65"/>
      <c r="F962" s="49"/>
    </row>
    <row r="963" spans="1:6" ht="12.75">
      <c r="A963" s="45"/>
      <c r="B963" s="46"/>
      <c r="C963" s="65"/>
      <c r="F963" s="49"/>
    </row>
    <row r="964" spans="1:6" ht="12.75">
      <c r="A964" s="39"/>
      <c r="C964" s="65"/>
      <c r="F964" s="49"/>
    </row>
    <row r="965" spans="1:6" ht="12.75">
      <c r="A965" s="39"/>
      <c r="C965" s="65"/>
      <c r="F965" s="49"/>
    </row>
    <row r="966" spans="1:6" ht="12.75">
      <c r="A966" s="45"/>
      <c r="B966" s="46"/>
      <c r="C966" s="65"/>
      <c r="F966" s="49"/>
    </row>
    <row r="967" spans="1:6" ht="12.75">
      <c r="A967" s="39"/>
      <c r="C967" s="65"/>
      <c r="F967" s="49"/>
    </row>
    <row r="968" spans="1:6" ht="12.75">
      <c r="A968" s="39"/>
      <c r="C968" s="65"/>
      <c r="F968" s="49"/>
    </row>
    <row r="969" spans="1:6" ht="12.75">
      <c r="A969" s="45"/>
      <c r="B969" s="46"/>
      <c r="C969" s="65"/>
      <c r="F969" s="49"/>
    </row>
    <row r="970" spans="1:6" ht="12.75">
      <c r="A970" s="39"/>
      <c r="C970" s="65"/>
      <c r="F970" s="49"/>
    </row>
    <row r="971" spans="1:6" ht="12.75">
      <c r="A971" s="39"/>
      <c r="C971" s="65"/>
      <c r="F971" s="49"/>
    </row>
    <row r="972" spans="1:6" ht="12.75">
      <c r="A972" s="45"/>
      <c r="B972" s="46"/>
      <c r="C972" s="65"/>
      <c r="F972" s="49"/>
    </row>
    <row r="973" spans="1:6" ht="12.75">
      <c r="A973" s="39"/>
      <c r="C973" s="65"/>
      <c r="F973" s="49"/>
    </row>
    <row r="974" spans="1:6" ht="12.75">
      <c r="A974" s="39"/>
      <c r="C974" s="65"/>
      <c r="F974" s="49"/>
    </row>
    <row r="975" spans="1:6" ht="12.75">
      <c r="A975" s="45"/>
      <c r="B975" s="46"/>
      <c r="C975" s="65"/>
      <c r="F975" s="49"/>
    </row>
    <row r="976" spans="1:6" ht="12.75">
      <c r="A976" s="39"/>
      <c r="C976" s="65"/>
      <c r="F976" s="49"/>
    </row>
    <row r="977" spans="1:6" ht="12.75">
      <c r="A977" s="39"/>
      <c r="C977" s="65"/>
      <c r="F977" s="49"/>
    </row>
    <row r="978" spans="1:6" ht="12.75">
      <c r="A978" s="45"/>
      <c r="B978" s="46"/>
      <c r="C978" s="65"/>
      <c r="F978" s="49"/>
    </row>
    <row r="979" spans="1:6" ht="12.75">
      <c r="A979" s="39"/>
      <c r="C979" s="65"/>
      <c r="F979" s="49"/>
    </row>
    <row r="980" spans="1:6" ht="12.75">
      <c r="A980" s="39"/>
      <c r="C980" s="65"/>
      <c r="F980" s="49"/>
    </row>
    <row r="981" spans="1:6" ht="12.75">
      <c r="A981" s="45"/>
      <c r="B981" s="46"/>
      <c r="C981" s="65"/>
      <c r="F981" s="49"/>
    </row>
    <row r="982" spans="1:6" ht="12.75">
      <c r="A982" s="39"/>
      <c r="C982" s="65"/>
      <c r="F982" s="49"/>
    </row>
    <row r="983" spans="1:6" ht="12.75">
      <c r="A983" s="39"/>
      <c r="C983" s="65"/>
      <c r="F983" s="49"/>
    </row>
    <row r="984" spans="1:6" ht="12.75">
      <c r="A984" s="45"/>
      <c r="B984" s="46"/>
      <c r="C984" s="65"/>
      <c r="F984" s="49"/>
    </row>
    <row r="985" spans="1:6" ht="12.75">
      <c r="A985" s="39"/>
      <c r="C985" s="65"/>
      <c r="F985" s="49"/>
    </row>
    <row r="986" spans="1:6" ht="12.75">
      <c r="A986" s="39"/>
      <c r="C986" s="65"/>
      <c r="F986" s="49"/>
    </row>
    <row r="987" spans="1:6" ht="12.75">
      <c r="A987" s="45"/>
      <c r="B987" s="46"/>
      <c r="C987" s="65"/>
      <c r="F987" s="49"/>
    </row>
    <row r="988" spans="1:6" ht="12.75">
      <c r="A988" s="39"/>
      <c r="C988" s="65"/>
      <c r="F988" s="49"/>
    </row>
    <row r="989" spans="1:6" ht="12.75">
      <c r="A989" s="39"/>
      <c r="C989" s="65"/>
      <c r="F989" s="49"/>
    </row>
    <row r="990" spans="1:6" ht="12.75">
      <c r="A990" s="45"/>
      <c r="B990" s="46"/>
      <c r="C990" s="65"/>
      <c r="F990" s="49"/>
    </row>
    <row r="991" spans="1:6" ht="12.75">
      <c r="A991" s="39"/>
      <c r="C991" s="65"/>
      <c r="F991" s="49"/>
    </row>
    <row r="992" spans="1:6" ht="12.75">
      <c r="A992" s="39"/>
      <c r="C992" s="65"/>
      <c r="F992" s="49"/>
    </row>
    <row r="993" spans="1:6" ht="12.75">
      <c r="A993" s="45"/>
      <c r="B993" s="46"/>
      <c r="C993" s="65"/>
      <c r="F993" s="49"/>
    </row>
    <row r="994" spans="1:6" ht="12.75">
      <c r="A994" s="39"/>
      <c r="C994" s="65"/>
      <c r="F994" s="49"/>
    </row>
    <row r="995" spans="1:6" ht="12.75">
      <c r="A995" s="39"/>
      <c r="C995" s="65"/>
      <c r="F995" s="49"/>
    </row>
    <row r="996" spans="1:6" ht="12.75">
      <c r="A996" s="45"/>
      <c r="B996" s="46"/>
      <c r="C996" s="65"/>
      <c r="F996" s="49"/>
    </row>
    <row r="997" spans="1:6" ht="12.75">
      <c r="A997" s="39"/>
      <c r="C997" s="65"/>
      <c r="F997" s="49"/>
    </row>
    <row r="998" spans="1:6" ht="12.75">
      <c r="A998" s="39"/>
      <c r="C998" s="65"/>
      <c r="F998" s="49"/>
    </row>
    <row r="999" spans="1:6" ht="12.75">
      <c r="A999" s="45"/>
      <c r="B999" s="46"/>
      <c r="C999" s="65"/>
      <c r="F999" s="49"/>
    </row>
    <row r="1000" spans="1:6" ht="12.75">
      <c r="A1000" s="39"/>
      <c r="C1000" s="65"/>
      <c r="F1000" s="49"/>
    </row>
    <row r="1001" spans="1:6" ht="12.75">
      <c r="A1001" s="39"/>
      <c r="C1001" s="65"/>
      <c r="F1001" s="49"/>
    </row>
    <row r="1002" spans="1:6" ht="12.75">
      <c r="A1002" s="45"/>
      <c r="B1002" s="46"/>
      <c r="C1002" s="65"/>
      <c r="F1002" s="49"/>
    </row>
    <row r="1003" spans="1:6" ht="12.75">
      <c r="A1003" s="39"/>
      <c r="C1003" s="65"/>
      <c r="F1003" s="49"/>
    </row>
    <row r="1004" spans="1:6" ht="12.75">
      <c r="A1004" s="39"/>
      <c r="C1004" s="65"/>
      <c r="F1004" s="49"/>
    </row>
    <row r="1005" spans="1:6" ht="12.75">
      <c r="A1005" s="45"/>
      <c r="B1005" s="46"/>
      <c r="C1005" s="65"/>
      <c r="F1005" s="49"/>
    </row>
    <row r="1006" spans="1:6" ht="12.75">
      <c r="A1006" s="39"/>
      <c r="C1006" s="65"/>
      <c r="F1006" s="49"/>
    </row>
    <row r="1007" spans="1:6" ht="12.75">
      <c r="A1007" s="39"/>
      <c r="C1007" s="65"/>
      <c r="F1007" s="49"/>
    </row>
    <row r="1008" spans="1:6" ht="12.75">
      <c r="A1008" s="45"/>
      <c r="B1008" s="46"/>
      <c r="C1008" s="65"/>
      <c r="F1008" s="49"/>
    </row>
    <row r="1009" spans="1:6" ht="12.75">
      <c r="A1009" s="39"/>
      <c r="C1009" s="65"/>
      <c r="F1009" s="49"/>
    </row>
    <row r="1010" spans="1:6" ht="12.75">
      <c r="A1010" s="39"/>
      <c r="C1010" s="65"/>
      <c r="F1010" s="49"/>
    </row>
    <row r="1011" spans="1:6" ht="12.75">
      <c r="A1011" s="45"/>
      <c r="B1011" s="46"/>
      <c r="C1011" s="65"/>
      <c r="F1011" s="49"/>
    </row>
    <row r="1012" spans="1:6" ht="12.75">
      <c r="A1012" s="39"/>
      <c r="C1012" s="65"/>
      <c r="F1012" s="49"/>
    </row>
    <row r="1013" spans="1:6" ht="12.75">
      <c r="A1013" s="39"/>
      <c r="C1013" s="65"/>
      <c r="F1013" s="49"/>
    </row>
    <row r="1014" spans="1:6" ht="12.75">
      <c r="A1014" s="45"/>
      <c r="B1014" s="46"/>
      <c r="C1014" s="65"/>
      <c r="F1014" s="49"/>
    </row>
    <row r="1015" spans="1:6" ht="12.75">
      <c r="A1015" s="39"/>
      <c r="C1015" s="65"/>
      <c r="F1015" s="49"/>
    </row>
    <row r="1016" spans="1:6" ht="12.75">
      <c r="A1016" s="39"/>
      <c r="C1016" s="65"/>
      <c r="F1016" s="49"/>
    </row>
    <row r="1017" spans="1:6" ht="12.75">
      <c r="A1017" s="45"/>
      <c r="B1017" s="46"/>
      <c r="C1017" s="65"/>
      <c r="F1017" s="49"/>
    </row>
    <row r="1018" spans="1:6" ht="12.75">
      <c r="A1018" s="39"/>
      <c r="C1018" s="65"/>
      <c r="F1018" s="49"/>
    </row>
    <row r="1019" spans="1:6" ht="12.75">
      <c r="A1019" s="39"/>
      <c r="C1019" s="65"/>
      <c r="F1019" s="49"/>
    </row>
    <row r="1020" spans="1:6" ht="12.75">
      <c r="A1020" s="45"/>
      <c r="B1020" s="46"/>
      <c r="C1020" s="65"/>
      <c r="F1020" s="49"/>
    </row>
    <row r="1021" spans="1:6" ht="12.75">
      <c r="A1021" s="39"/>
      <c r="C1021" s="65"/>
      <c r="F1021" s="49"/>
    </row>
    <row r="1022" spans="1:6" ht="12.75">
      <c r="A1022" s="39"/>
      <c r="C1022" s="65"/>
      <c r="F1022" s="49"/>
    </row>
    <row r="1023" spans="1:6" ht="12.75">
      <c r="A1023" s="45"/>
      <c r="B1023" s="46"/>
      <c r="C1023" s="65"/>
      <c r="F1023" s="49"/>
    </row>
    <row r="1024" spans="1:6" ht="12.75">
      <c r="A1024" s="39"/>
      <c r="C1024" s="65"/>
      <c r="F1024" s="49"/>
    </row>
    <row r="1025" spans="1:6" ht="12.75">
      <c r="A1025" s="39"/>
      <c r="C1025" s="65"/>
      <c r="F1025" s="49"/>
    </row>
    <row r="1026" spans="1:6" ht="12.75">
      <c r="A1026" s="45"/>
      <c r="B1026" s="46"/>
      <c r="C1026" s="65"/>
      <c r="F1026" s="49"/>
    </row>
    <row r="1027" spans="1:6" ht="12.75">
      <c r="A1027" s="39"/>
      <c r="C1027" s="65"/>
      <c r="F1027" s="49"/>
    </row>
    <row r="1028" spans="1:6" ht="12.75">
      <c r="A1028" s="39"/>
      <c r="C1028" s="65"/>
      <c r="F1028" s="49"/>
    </row>
    <row r="1029" spans="1:6" ht="12.75">
      <c r="A1029" s="45"/>
      <c r="B1029" s="46"/>
      <c r="C1029" s="65"/>
      <c r="F1029" s="49"/>
    </row>
    <row r="1030" spans="1:6" ht="12.75">
      <c r="A1030" s="39"/>
      <c r="C1030" s="65"/>
      <c r="F1030" s="49"/>
    </row>
    <row r="1031" spans="1:6" ht="12.75">
      <c r="A1031" s="39"/>
      <c r="C1031" s="65"/>
      <c r="F1031" s="49"/>
    </row>
    <row r="1032" spans="1:6" ht="12.75">
      <c r="A1032" s="45"/>
      <c r="B1032" s="46"/>
      <c r="C1032" s="65"/>
      <c r="F1032" s="49"/>
    </row>
    <row r="1033" spans="1:6" ht="12.75">
      <c r="A1033" s="39"/>
      <c r="C1033" s="65"/>
      <c r="F1033" s="49"/>
    </row>
    <row r="1034" spans="1:6" ht="12.75">
      <c r="A1034" s="39"/>
      <c r="C1034" s="65"/>
      <c r="F1034" s="49"/>
    </row>
    <row r="1035" spans="1:6" ht="12.75">
      <c r="A1035" s="45"/>
      <c r="B1035" s="46"/>
      <c r="C1035" s="65"/>
      <c r="F1035" s="49"/>
    </row>
    <row r="1036" spans="1:6" ht="12.75">
      <c r="A1036" s="39"/>
      <c r="C1036" s="65"/>
      <c r="F1036" s="49"/>
    </row>
    <row r="1037" spans="1:6" ht="12.75">
      <c r="A1037" s="39"/>
      <c r="C1037" s="65"/>
      <c r="F1037" s="49"/>
    </row>
    <row r="1038" spans="1:6" ht="12.75">
      <c r="A1038" s="45"/>
      <c r="B1038" s="46"/>
      <c r="C1038" s="65"/>
      <c r="F1038" s="49"/>
    </row>
    <row r="1039" spans="1:6" ht="12.75">
      <c r="A1039" s="39"/>
      <c r="C1039" s="65"/>
      <c r="F1039" s="49"/>
    </row>
    <row r="1040" spans="1:6" ht="12.75">
      <c r="A1040" s="39"/>
      <c r="C1040" s="65"/>
      <c r="F1040" s="49"/>
    </row>
    <row r="1041" spans="1:6" ht="12.75">
      <c r="A1041" s="45"/>
      <c r="B1041" s="46"/>
      <c r="C1041" s="65"/>
      <c r="F1041" s="49"/>
    </row>
    <row r="1042" spans="1:6" ht="12.75">
      <c r="A1042" s="39"/>
      <c r="C1042" s="65"/>
      <c r="F1042" s="49"/>
    </row>
    <row r="1043" spans="1:6" ht="12.75">
      <c r="A1043" s="39"/>
      <c r="C1043" s="65"/>
      <c r="F1043" s="49"/>
    </row>
    <row r="1044" spans="1:6" ht="12.75">
      <c r="A1044" s="45"/>
      <c r="B1044" s="46"/>
      <c r="C1044" s="65"/>
      <c r="F1044" s="49"/>
    </row>
    <row r="1045" spans="1:6" ht="12.75">
      <c r="A1045" s="39"/>
      <c r="C1045" s="65"/>
      <c r="F1045" s="49"/>
    </row>
    <row r="1046" spans="1:6" ht="12.75">
      <c r="A1046" s="39"/>
      <c r="C1046" s="65"/>
      <c r="F1046" s="49"/>
    </row>
    <row r="1047" spans="1:6" ht="12.75">
      <c r="A1047" s="45"/>
      <c r="B1047" s="46"/>
      <c r="C1047" s="65"/>
      <c r="F1047" s="49"/>
    </row>
    <row r="1048" spans="1:6" ht="12.75">
      <c r="A1048" s="39"/>
      <c r="C1048" s="65"/>
      <c r="F1048" s="49"/>
    </row>
    <row r="1049" spans="1:6" ht="12.75">
      <c r="A1049" s="39"/>
      <c r="C1049" s="65"/>
      <c r="F1049" s="49"/>
    </row>
    <row r="1050" spans="1:6" ht="12.75">
      <c r="A1050" s="45"/>
      <c r="B1050" s="46"/>
      <c r="C1050" s="65"/>
      <c r="F1050" s="49"/>
    </row>
    <row r="1051" spans="1:6" ht="12.75">
      <c r="A1051" s="39"/>
      <c r="C1051" s="65"/>
      <c r="F1051" s="49"/>
    </row>
    <row r="1052" spans="1:6" ht="12.75">
      <c r="A1052" s="39"/>
      <c r="C1052" s="65"/>
      <c r="F1052" s="49"/>
    </row>
    <row r="1053" spans="1:6" ht="12.75">
      <c r="A1053" s="45"/>
      <c r="B1053" s="46"/>
      <c r="C1053" s="65"/>
      <c r="F1053" s="49"/>
    </row>
    <row r="1054" spans="1:6" ht="12.75">
      <c r="A1054" s="39"/>
      <c r="C1054" s="65"/>
      <c r="F1054" s="49"/>
    </row>
    <row r="1055" spans="1:6" ht="12.75">
      <c r="A1055" s="39"/>
      <c r="C1055" s="65"/>
      <c r="F1055" s="49"/>
    </row>
    <row r="1056" spans="1:6" ht="12.75">
      <c r="A1056" s="45"/>
      <c r="B1056" s="46"/>
      <c r="C1056" s="65"/>
      <c r="F1056" s="49"/>
    </row>
    <row r="1057" spans="1:6" ht="12.75">
      <c r="A1057" s="39"/>
      <c r="C1057" s="65"/>
      <c r="F1057" s="49"/>
    </row>
    <row r="1058" spans="1:6" ht="12.75">
      <c r="A1058" s="39"/>
      <c r="C1058" s="65"/>
      <c r="F1058" s="49"/>
    </row>
    <row r="1059" spans="1:6" ht="12.75">
      <c r="A1059" s="45"/>
      <c r="B1059" s="46"/>
      <c r="C1059" s="65"/>
      <c r="F1059" s="49"/>
    </row>
    <row r="1060" spans="1:6" ht="12.75">
      <c r="A1060" s="39"/>
      <c r="C1060" s="65"/>
      <c r="F1060" s="49"/>
    </row>
    <row r="1061" spans="1:6" ht="12.75">
      <c r="A1061" s="39"/>
      <c r="C1061" s="65"/>
      <c r="F1061" s="49"/>
    </row>
    <row r="1062" spans="1:6" ht="12.75">
      <c r="A1062" s="45"/>
      <c r="B1062" s="46"/>
      <c r="C1062" s="65"/>
      <c r="F1062" s="49"/>
    </row>
    <row r="1063" spans="1:6" ht="12.75">
      <c r="A1063" s="39"/>
      <c r="C1063" s="65"/>
      <c r="F1063" s="49"/>
    </row>
    <row r="1064" spans="1:6" ht="12.75">
      <c r="A1064" s="39"/>
      <c r="C1064" s="65"/>
      <c r="F1064" s="49"/>
    </row>
    <row r="1065" spans="1:6" ht="12.75">
      <c r="A1065" s="45"/>
      <c r="B1065" s="46"/>
      <c r="C1065" s="65"/>
      <c r="F1065" s="49"/>
    </row>
    <row r="1066" spans="1:6" ht="12.75">
      <c r="A1066" s="39"/>
      <c r="C1066" s="65"/>
      <c r="F1066" s="49"/>
    </row>
    <row r="1067" spans="1:6" ht="12.75">
      <c r="A1067" s="39"/>
      <c r="C1067" s="65"/>
      <c r="F1067" s="49"/>
    </row>
    <row r="1068" spans="1:6" ht="12.75">
      <c r="A1068" s="45"/>
      <c r="B1068" s="46"/>
      <c r="C1068" s="65"/>
      <c r="F1068" s="49"/>
    </row>
    <row r="1069" spans="1:6" ht="12.75">
      <c r="A1069" s="39"/>
      <c r="C1069" s="65"/>
      <c r="F1069" s="49"/>
    </row>
    <row r="1070" spans="1:6" ht="12.75">
      <c r="A1070" s="39"/>
      <c r="C1070" s="65"/>
      <c r="F1070" s="49"/>
    </row>
    <row r="1071" spans="1:6" ht="12.75">
      <c r="A1071" s="45"/>
      <c r="B1071" s="46"/>
      <c r="C1071" s="65"/>
      <c r="F1071" s="49"/>
    </row>
    <row r="1072" spans="1:6" ht="12.75">
      <c r="A1072" s="39"/>
      <c r="C1072" s="65"/>
      <c r="F1072" s="49"/>
    </row>
    <row r="1073" spans="1:6" ht="12.75">
      <c r="A1073" s="39"/>
      <c r="C1073" s="65"/>
      <c r="F1073" s="49"/>
    </row>
    <row r="1074" spans="1:6" ht="12.75">
      <c r="A1074" s="45"/>
      <c r="B1074" s="46"/>
      <c r="C1074" s="65"/>
      <c r="F1074" s="49"/>
    </row>
    <row r="1075" spans="1:6" ht="12.75">
      <c r="A1075" s="39"/>
      <c r="C1075" s="65"/>
      <c r="F1075" s="49"/>
    </row>
    <row r="1076" spans="1:6" ht="12.75">
      <c r="A1076" s="39"/>
      <c r="C1076" s="65"/>
      <c r="F1076" s="49"/>
    </row>
    <row r="1077" spans="1:6" ht="12.75">
      <c r="A1077" s="45"/>
      <c r="B1077" s="46"/>
      <c r="C1077" s="65"/>
      <c r="F1077" s="49"/>
    </row>
    <row r="1078" spans="1:6" ht="12.75">
      <c r="A1078" s="39"/>
      <c r="C1078" s="65"/>
      <c r="F1078" s="49"/>
    </row>
    <row r="1079" spans="1:6" ht="12.75">
      <c r="A1079" s="39"/>
      <c r="C1079" s="65"/>
      <c r="F1079" s="49"/>
    </row>
    <row r="1080" spans="1:6" ht="12.75">
      <c r="A1080" s="45"/>
      <c r="B1080" s="46"/>
      <c r="C1080" s="65"/>
      <c r="F1080" s="49"/>
    </row>
    <row r="1081" spans="1:6" ht="12.75">
      <c r="A1081" s="39"/>
      <c r="C1081" s="65"/>
      <c r="F1081" s="49"/>
    </row>
    <row r="1082" spans="1:6" ht="12.75">
      <c r="A1082" s="39"/>
      <c r="C1082" s="65"/>
      <c r="F1082" s="49"/>
    </row>
    <row r="1083" spans="1:6" ht="12.75">
      <c r="A1083" s="45"/>
      <c r="B1083" s="46"/>
      <c r="C1083" s="65"/>
      <c r="F1083" s="49"/>
    </row>
    <row r="1084" spans="1:6" ht="12.75">
      <c r="A1084" s="39"/>
      <c r="C1084" s="65"/>
      <c r="F1084" s="49"/>
    </row>
    <row r="1085" spans="1:6" ht="12.75">
      <c r="A1085" s="39"/>
      <c r="C1085" s="65"/>
      <c r="F1085" s="49"/>
    </row>
    <row r="1086" spans="1:6" ht="12.75">
      <c r="A1086" s="45"/>
      <c r="B1086" s="46"/>
      <c r="C1086" s="65"/>
      <c r="F1086" s="49"/>
    </row>
    <row r="1087" spans="1:6" ht="12.75">
      <c r="A1087" s="39"/>
      <c r="C1087" s="65"/>
      <c r="F1087" s="49"/>
    </row>
    <row r="1088" spans="1:6" ht="12.75">
      <c r="A1088" s="39"/>
      <c r="C1088" s="65"/>
      <c r="F1088" s="49"/>
    </row>
    <row r="1089" spans="1:6" ht="12.75">
      <c r="A1089" s="45"/>
      <c r="B1089" s="46"/>
      <c r="C1089" s="65"/>
      <c r="F1089" s="49"/>
    </row>
    <row r="1090" spans="1:6" ht="12.75">
      <c r="A1090" s="39"/>
      <c r="C1090" s="65"/>
      <c r="F1090" s="49"/>
    </row>
    <row r="1091" spans="1:6" ht="12.75">
      <c r="A1091" s="39"/>
      <c r="C1091" s="65"/>
      <c r="F1091" s="49"/>
    </row>
    <row r="1092" spans="1:6" ht="12.75">
      <c r="A1092" s="45"/>
      <c r="B1092" s="46"/>
      <c r="C1092" s="65"/>
      <c r="F1092" s="49"/>
    </row>
    <row r="1093" spans="1:6" ht="12.75">
      <c r="A1093" s="39"/>
      <c r="C1093" s="65"/>
      <c r="F1093" s="49"/>
    </row>
    <row r="1094" spans="1:6" ht="12.75">
      <c r="A1094" s="39"/>
      <c r="C1094" s="65"/>
      <c r="F1094" s="49"/>
    </row>
    <row r="1095" spans="1:6" ht="12.75">
      <c r="A1095" s="45"/>
      <c r="B1095" s="46"/>
      <c r="C1095" s="65"/>
      <c r="F1095" s="49"/>
    </row>
    <row r="1096" spans="1:6" ht="12.75">
      <c r="A1096" s="39"/>
      <c r="C1096" s="65"/>
      <c r="F1096" s="49"/>
    </row>
    <row r="1097" spans="1:6" ht="12.75">
      <c r="A1097" s="39"/>
      <c r="C1097" s="65"/>
      <c r="F1097" s="49"/>
    </row>
    <row r="1098" spans="1:6" ht="12.75">
      <c r="A1098" s="45"/>
      <c r="B1098" s="46"/>
      <c r="C1098" s="65"/>
      <c r="F1098" s="49"/>
    </row>
    <row r="1099" spans="1:6" ht="12.75">
      <c r="A1099" s="39"/>
      <c r="C1099" s="65"/>
      <c r="F1099" s="49"/>
    </row>
    <row r="1100" spans="1:6" ht="12.75">
      <c r="A1100" s="39"/>
      <c r="C1100" s="65"/>
      <c r="F1100" s="49"/>
    </row>
    <row r="1101" spans="1:6" ht="12.75">
      <c r="A1101" s="45"/>
      <c r="B1101" s="46"/>
      <c r="C1101" s="65"/>
      <c r="F1101" s="49"/>
    </row>
    <row r="1102" spans="1:6" ht="12.75">
      <c r="A1102" s="39"/>
      <c r="C1102" s="65"/>
      <c r="F1102" s="49"/>
    </row>
    <row r="1103" spans="1:6" ht="12.75">
      <c r="A1103" s="39"/>
      <c r="C1103" s="65"/>
      <c r="F1103" s="49"/>
    </row>
    <row r="1104" spans="1:6" ht="12.75">
      <c r="A1104" s="45"/>
      <c r="B1104" s="46"/>
      <c r="C1104" s="65"/>
      <c r="F1104" s="49"/>
    </row>
    <row r="1105" spans="1:6" ht="12.75">
      <c r="A1105" s="39"/>
      <c r="C1105" s="65"/>
      <c r="F1105" s="49"/>
    </row>
    <row r="1106" spans="1:6" ht="12.75">
      <c r="A1106" s="39"/>
      <c r="C1106" s="65"/>
      <c r="F1106" s="49"/>
    </row>
    <row r="1107" spans="1:6" ht="12.75">
      <c r="A1107" s="45"/>
      <c r="B1107" s="46"/>
      <c r="C1107" s="65"/>
      <c r="F1107" s="49"/>
    </row>
    <row r="1108" spans="1:6" ht="12.75">
      <c r="A1108" s="39"/>
      <c r="C1108" s="65"/>
      <c r="F1108" s="49"/>
    </row>
    <row r="1109" spans="1:6" ht="12.75">
      <c r="A1109" s="39"/>
      <c r="C1109" s="65"/>
      <c r="F1109" s="49"/>
    </row>
    <row r="1110" spans="1:6" ht="12.75">
      <c r="A1110" s="45"/>
      <c r="B1110" s="46"/>
      <c r="C1110" s="65"/>
      <c r="F1110" s="49"/>
    </row>
    <row r="1111" spans="1:6" ht="12.75">
      <c r="A1111" s="39"/>
      <c r="C1111" s="65"/>
      <c r="F1111" s="49"/>
    </row>
    <row r="1112" spans="1:6" ht="12.75">
      <c r="A1112" s="39"/>
      <c r="C1112" s="65"/>
      <c r="F1112" s="49"/>
    </row>
    <row r="1113" spans="1:6" ht="12.75">
      <c r="A1113" s="45"/>
      <c r="B1113" s="46"/>
      <c r="C1113" s="65"/>
      <c r="F1113" s="49"/>
    </row>
    <row r="1114" spans="1:6" ht="12.75">
      <c r="A1114" s="39"/>
      <c r="C1114" s="65"/>
      <c r="F1114" s="49"/>
    </row>
    <row r="1115" spans="1:6" ht="12.75">
      <c r="A1115" s="39"/>
      <c r="C1115" s="65"/>
      <c r="F1115" s="49"/>
    </row>
    <row r="1116" spans="1:6" ht="12.75">
      <c r="A1116" s="45"/>
      <c r="B1116" s="46"/>
      <c r="C1116" s="65"/>
      <c r="F1116" s="49"/>
    </row>
    <row r="1117" spans="1:6" ht="12.75">
      <c r="A1117" s="39"/>
      <c r="C1117" s="65"/>
      <c r="F1117" s="49"/>
    </row>
    <row r="1118" spans="1:6" ht="12.75">
      <c r="A1118" s="39"/>
      <c r="C1118" s="65"/>
      <c r="F1118" s="49"/>
    </row>
    <row r="1119" spans="1:6" ht="12.75">
      <c r="A1119" s="45"/>
      <c r="B1119" s="46"/>
      <c r="C1119" s="65"/>
      <c r="F1119" s="49"/>
    </row>
    <row r="1120" spans="1:6" ht="12.75">
      <c r="A1120" s="39"/>
      <c r="C1120" s="65"/>
      <c r="F1120" s="49"/>
    </row>
    <row r="1121" spans="1:6" ht="12.75">
      <c r="A1121" s="39"/>
      <c r="C1121" s="65"/>
      <c r="F1121" s="49"/>
    </row>
    <row r="1122" spans="1:6" ht="12.75">
      <c r="A1122" s="45"/>
      <c r="B1122" s="46"/>
      <c r="C1122" s="65"/>
      <c r="F1122" s="49"/>
    </row>
    <row r="1123" spans="1:6" ht="12.75">
      <c r="A1123" s="39"/>
      <c r="C1123" s="65"/>
      <c r="F1123" s="49"/>
    </row>
    <row r="1124" spans="1:6" ht="12.75">
      <c r="A1124" s="39"/>
      <c r="C1124" s="65"/>
      <c r="F1124" s="49"/>
    </row>
    <row r="1125" spans="1:6" ht="12.75">
      <c r="A1125" s="45"/>
      <c r="B1125" s="46"/>
      <c r="C1125" s="65"/>
      <c r="F1125" s="49"/>
    </row>
    <row r="1126" spans="1:6" ht="12.75">
      <c r="A1126" s="39"/>
      <c r="C1126" s="65"/>
      <c r="F1126" s="49"/>
    </row>
    <row r="1127" spans="1:6" ht="12.75">
      <c r="A1127" s="39"/>
      <c r="C1127" s="65"/>
      <c r="F1127" s="49"/>
    </row>
    <row r="1128" spans="1:6" ht="12.75">
      <c r="A1128" s="45"/>
      <c r="B1128" s="46"/>
      <c r="C1128" s="65"/>
      <c r="F1128" s="49"/>
    </row>
    <row r="1129" spans="1:6" ht="12.75">
      <c r="A1129" s="39"/>
      <c r="C1129" s="65"/>
      <c r="F1129" s="49"/>
    </row>
    <row r="1130" spans="1:6" ht="12.75">
      <c r="A1130" s="39"/>
      <c r="C1130" s="65"/>
      <c r="F1130" s="49"/>
    </row>
    <row r="1131" spans="1:6" ht="12.75">
      <c r="A1131" s="45"/>
      <c r="B1131" s="46"/>
      <c r="C1131" s="65"/>
      <c r="F1131" s="49"/>
    </row>
    <row r="1132" spans="1:6" ht="12.75">
      <c r="A1132" s="39"/>
      <c r="C1132" s="65"/>
      <c r="F1132" s="49"/>
    </row>
    <row r="1133" spans="1:6" ht="12.75">
      <c r="A1133" s="39"/>
      <c r="C1133" s="65"/>
      <c r="F1133" s="49"/>
    </row>
    <row r="1134" spans="1:6" ht="12.75">
      <c r="A1134" s="45"/>
      <c r="B1134" s="46"/>
      <c r="C1134" s="65"/>
      <c r="F1134" s="49"/>
    </row>
    <row r="1135" spans="1:6" ht="12.75">
      <c r="A1135" s="39"/>
      <c r="C1135" s="65"/>
      <c r="F1135" s="49"/>
    </row>
    <row r="1136" spans="1:6" ht="12.75">
      <c r="A1136" s="39"/>
      <c r="C1136" s="65"/>
      <c r="F1136" s="49"/>
    </row>
    <row r="1137" spans="1:6" ht="12.75">
      <c r="A1137" s="45"/>
      <c r="B1137" s="46"/>
      <c r="C1137" s="65"/>
      <c r="F1137" s="49"/>
    </row>
    <row r="1138" spans="1:6" ht="12.75">
      <c r="A1138" s="39"/>
      <c r="C1138" s="65"/>
      <c r="F1138" s="49"/>
    </row>
    <row r="1139" spans="1:6" ht="12.75">
      <c r="A1139" s="39"/>
      <c r="C1139" s="65"/>
      <c r="F1139" s="49"/>
    </row>
    <row r="1140" spans="1:6" ht="12.75">
      <c r="A1140" s="45"/>
      <c r="B1140" s="46"/>
      <c r="C1140" s="65"/>
      <c r="F1140" s="49"/>
    </row>
    <row r="1141" spans="1:6" ht="12.75">
      <c r="A1141" s="39"/>
      <c r="C1141" s="65"/>
      <c r="F1141" s="49"/>
    </row>
    <row r="1142" spans="1:6" ht="12.75">
      <c r="A1142" s="39"/>
      <c r="C1142" s="65"/>
      <c r="F1142" s="49"/>
    </row>
    <row r="1143" spans="1:6" ht="12.75">
      <c r="A1143" s="45"/>
      <c r="B1143" s="46"/>
      <c r="C1143" s="65"/>
      <c r="F1143" s="49"/>
    </row>
    <row r="1144" spans="1:6" ht="12.75">
      <c r="A1144" s="39"/>
      <c r="C1144" s="65"/>
      <c r="F1144" s="49"/>
    </row>
    <row r="1145" spans="1:6" ht="12.75">
      <c r="A1145" s="39"/>
      <c r="C1145" s="65"/>
      <c r="F1145" s="49"/>
    </row>
    <row r="1146" spans="1:6" ht="12.75">
      <c r="A1146" s="45"/>
      <c r="B1146" s="46"/>
      <c r="C1146" s="65"/>
      <c r="F1146" s="49"/>
    </row>
    <row r="1147" spans="1:6" ht="12.75">
      <c r="A1147" s="39"/>
      <c r="C1147" s="65"/>
      <c r="F1147" s="49"/>
    </row>
    <row r="1148" spans="1:6" ht="12.75">
      <c r="A1148" s="39"/>
      <c r="C1148" s="65"/>
      <c r="F1148" s="49"/>
    </row>
    <row r="1149" spans="1:6" ht="12.75">
      <c r="A1149" s="45"/>
      <c r="B1149" s="46"/>
      <c r="C1149" s="65"/>
      <c r="F1149" s="49"/>
    </row>
    <row r="1150" spans="1:6" ht="12.75">
      <c r="A1150" s="39"/>
      <c r="C1150" s="65"/>
      <c r="F1150" s="49"/>
    </row>
    <row r="1151" spans="1:6" ht="12.75">
      <c r="A1151" s="39"/>
      <c r="C1151" s="65"/>
      <c r="F1151" s="49"/>
    </row>
    <row r="1152" spans="1:6" ht="12.75">
      <c r="A1152" s="45"/>
      <c r="B1152" s="46"/>
      <c r="C1152" s="65"/>
      <c r="F1152" s="49"/>
    </row>
    <row r="1153" spans="1:6" ht="12.75">
      <c r="A1153" s="39"/>
      <c r="C1153" s="65"/>
      <c r="F1153" s="49"/>
    </row>
    <row r="1154" spans="1:6" ht="12.75">
      <c r="A1154" s="39"/>
      <c r="C1154" s="65"/>
      <c r="F1154" s="49"/>
    </row>
    <row r="1155" spans="1:6" ht="12.75">
      <c r="A1155" s="45"/>
      <c r="B1155" s="46"/>
      <c r="C1155" s="65"/>
      <c r="F1155" s="49"/>
    </row>
    <row r="1156" spans="1:6" ht="12.75">
      <c r="A1156" s="39"/>
      <c r="C1156" s="65"/>
      <c r="F1156" s="49"/>
    </row>
    <row r="1157" spans="1:6" ht="12.75">
      <c r="A1157" s="39"/>
      <c r="C1157" s="65"/>
      <c r="F1157" s="49"/>
    </row>
    <row r="1158" spans="1:6" ht="12.75">
      <c r="A1158" s="45"/>
      <c r="B1158" s="46"/>
      <c r="C1158" s="65"/>
      <c r="F1158" s="49"/>
    </row>
    <row r="1159" spans="1:6" ht="12.75">
      <c r="A1159" s="39"/>
      <c r="C1159" s="65"/>
      <c r="F1159" s="49"/>
    </row>
    <row r="1160" spans="1:6" ht="12.75">
      <c r="A1160" s="39"/>
      <c r="C1160" s="65"/>
      <c r="F1160" s="49"/>
    </row>
    <row r="1161" spans="1:6" ht="12.75">
      <c r="A1161" s="45"/>
      <c r="B1161" s="46"/>
      <c r="C1161" s="65"/>
      <c r="F1161" s="49"/>
    </row>
    <row r="1162" spans="1:6" ht="12.75">
      <c r="A1162" s="39"/>
      <c r="C1162" s="65"/>
      <c r="F1162" s="49"/>
    </row>
    <row r="1163" spans="1:6" ht="12.75">
      <c r="A1163" s="39"/>
      <c r="C1163" s="65"/>
      <c r="F1163" s="49"/>
    </row>
    <row r="1164" spans="1:6" ht="12.75">
      <c r="A1164" s="45"/>
      <c r="B1164" s="46"/>
      <c r="C1164" s="65"/>
      <c r="F1164" s="49"/>
    </row>
    <row r="1165" spans="1:6" ht="12.75">
      <c r="A1165" s="39"/>
      <c r="C1165" s="65"/>
      <c r="F1165" s="49"/>
    </row>
  </sheetData>
  <sheetProtection/>
  <autoFilter ref="A1:C643"/>
  <conditionalFormatting sqref="C707:C804 C807:C1165">
    <cfRule type="cellIs" priority="3" dxfId="0" operator="equal" stopIfTrue="1">
      <formula>0</formula>
    </cfRule>
  </conditionalFormatting>
  <conditionalFormatting sqref="C805">
    <cfRule type="cellIs" priority="2" dxfId="0" operator="equal" stopIfTrue="1">
      <formula>0</formula>
    </cfRule>
  </conditionalFormatting>
  <conditionalFormatting sqref="C806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Jeff Dornsife</cp:lastModifiedBy>
  <cp:lastPrinted>2017-05-25T20:02:09Z</cp:lastPrinted>
  <dcterms:created xsi:type="dcterms:W3CDTF">2009-09-04T18:19:13Z</dcterms:created>
  <dcterms:modified xsi:type="dcterms:W3CDTF">2017-05-25T20:26:57Z</dcterms:modified>
  <cp:category/>
  <cp:version/>
  <cp:contentType/>
  <cp:contentStatus/>
</cp:coreProperties>
</file>